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C:\Users\PC\Desktop\PAIE 2026\AVANTAGES EN NATURE ET FRAIS PROFESSIONNELS\"/>
    </mc:Choice>
  </mc:AlternateContent>
  <xr:revisionPtr revIDLastSave="0" documentId="13_ncr:2001_{3C72685A-9DAB-4926-A77A-62D9E8A289F7}" xr6:coauthVersionLast="47" xr6:coauthVersionMax="47" xr10:uidLastSave="{00000000-0000-0000-0000-000000000000}"/>
  <bookViews>
    <workbookView xWindow="-120" yWindow="-120" windowWidth="20730" windowHeight="11040" firstSheet="5" activeTab="5" xr2:uid="{00000000-000D-0000-FFFF-FFFF00000000}"/>
  </bookViews>
  <sheets>
    <sheet name="PRESENTATION " sheetId="64" r:id="rId1"/>
    <sheet name="INTRODUCTION " sheetId="66" r:id="rId2"/>
    <sheet name="PRECISION " sheetId="90" r:id="rId3"/>
    <sheet name="EXPLICATIONS FEUILLE HEURES SUP" sheetId="87" r:id="rId4"/>
    <sheet name="ENONCE 2026" sheetId="92" r:id="rId5"/>
    <sheet name="CORRECTION 2026" sheetId="93" r:id="rId6"/>
    <sheet name="TABLE DES TAUX 2026 " sheetId="50" r:id="rId7"/>
    <sheet name="MASQUE DE SAISIE " sheetId="55" r:id="rId8"/>
    <sheet name="BP VERSION JANVIER 2023" sheetId="31" r:id="rId9"/>
    <sheet name="BP FORMAT JUILLET 2023" sheetId="51" r:id="rId10"/>
    <sheet name="RGDU " sheetId="91" r:id="rId11"/>
    <sheet name="FEUILLE DE CONTROLE " sheetId="67" r:id="rId12"/>
    <sheet name="BP 2026" sheetId="89" r:id="rId13"/>
    <sheet name="HEURES SUPPLEMENTAIRES " sheetId="33" r:id="rId14"/>
    <sheet name="TR Matrice Net Imposable " sheetId="77" r:id="rId15"/>
    <sheet name="TR Matrice Cotisations " sheetId="78" r:id="rId16"/>
    <sheet name="TRAME DE BP AMELIOREE  " sheetId="88" r:id="rId17"/>
    <sheet name="TAUX NEUTRE " sheetId="86" r:id="rId18"/>
    <sheet name="TAUX NEUTRE JANVIER  " sheetId="24" r:id="rId19"/>
    <sheet name="TAUX NEUTRE MAI " sheetId="85" r:id="rId20"/>
  </sheets>
  <externalReferences>
    <externalReference r:id="rId21"/>
  </externalReferences>
  <definedNames>
    <definedName name="TABLE2019">#REF!</definedName>
    <definedName name="TABLE201NN">#REF!</definedName>
    <definedName name="TABLE20NN">#REF!</definedName>
    <definedName name="TABLETAUX">#REF!</definedName>
    <definedName name="TABLETAUX1">#REF!</definedName>
    <definedName name="TAUX2015">#REF!</definedName>
    <definedName name="TAUX2023">'TABLE DES TAUX 2026 '!$A$1:$D$57</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8" i="93" l="1"/>
  <c r="N38" i="93"/>
  <c r="N41" i="93" s="1"/>
  <c r="J23" i="51"/>
  <c r="J20" i="51"/>
  <c r="J18" i="51"/>
  <c r="J17" i="51"/>
  <c r="F81" i="51" s="1"/>
  <c r="G13" i="51"/>
  <c r="J23" i="31"/>
  <c r="J40" i="93" s="1"/>
  <c r="E45" i="55"/>
  <c r="G21" i="51" s="1"/>
  <c r="G21" i="31"/>
  <c r="E41" i="55"/>
  <c r="J13" i="51" s="1"/>
  <c r="E29" i="93"/>
  <c r="E44" i="55" s="1"/>
  <c r="C33" i="51" s="1"/>
  <c r="E15" i="93"/>
  <c r="E21" i="93"/>
  <c r="E27" i="93" s="1"/>
  <c r="J17" i="31" s="1"/>
  <c r="F76" i="31" s="1"/>
  <c r="G13" i="67" s="1"/>
  <c r="E88" i="33" l="1"/>
  <c r="I13" i="51"/>
  <c r="I19" i="51"/>
  <c r="J19" i="51" s="1"/>
  <c r="I21" i="51"/>
  <c r="J21" i="51" s="1"/>
  <c r="D122" i="51"/>
  <c r="D110" i="31"/>
  <c r="E23" i="91"/>
  <c r="E22" i="91"/>
  <c r="E20" i="91"/>
  <c r="E36" i="31"/>
  <c r="E43" i="55"/>
  <c r="E59" i="50"/>
  <c r="C59" i="50"/>
  <c r="E56" i="50"/>
  <c r="C56" i="50"/>
  <c r="J33" i="51" l="1"/>
  <c r="E184" i="33"/>
  <c r="F168" i="33"/>
  <c r="E118" i="55" l="1"/>
  <c r="F118" i="55" s="1"/>
  <c r="E117" i="55"/>
  <c r="F117" i="55" s="1"/>
  <c r="C76" i="89"/>
  <c r="C75" i="89"/>
  <c r="I54" i="89"/>
  <c r="G54" i="89"/>
  <c r="G55" i="89"/>
  <c r="F54" i="89"/>
  <c r="E52" i="89"/>
  <c r="E53" i="89"/>
  <c r="E54" i="89"/>
  <c r="E55" i="89"/>
  <c r="C52" i="89"/>
  <c r="C53" i="89"/>
  <c r="C54" i="89"/>
  <c r="I45" i="89"/>
  <c r="F45" i="89"/>
  <c r="E44" i="89"/>
  <c r="E45" i="89"/>
  <c r="C40" i="89"/>
  <c r="G40" i="89" s="1"/>
  <c r="C42" i="89"/>
  <c r="B9" i="89"/>
  <c r="J15" i="89"/>
  <c r="J16" i="89"/>
  <c r="J17" i="89"/>
  <c r="J18" i="89"/>
  <c r="J23" i="89"/>
  <c r="J24" i="89"/>
  <c r="J25" i="89"/>
  <c r="J26" i="89"/>
  <c r="J27" i="89"/>
  <c r="J28" i="89"/>
  <c r="J29" i="89"/>
  <c r="J30" i="89"/>
  <c r="J31" i="89"/>
  <c r="J32" i="89"/>
  <c r="J33" i="89"/>
  <c r="C109" i="89"/>
  <c r="C100" i="89"/>
  <c r="E9" i="78"/>
  <c r="D125" i="88"/>
  <c r="C124" i="88"/>
  <c r="C122" i="88"/>
  <c r="C121" i="88"/>
  <c r="C119" i="88"/>
  <c r="E116" i="88"/>
  <c r="C116" i="88"/>
  <c r="D110" i="88"/>
  <c r="C106" i="88"/>
  <c r="D106" i="88" s="1"/>
  <c r="D101" i="88"/>
  <c r="C97" i="88"/>
  <c r="D97" i="88" s="1"/>
  <c r="B91" i="88"/>
  <c r="B90" i="88"/>
  <c r="B89" i="88"/>
  <c r="B88" i="88"/>
  <c r="I41" i="88"/>
  <c r="G41" i="88"/>
  <c r="I40" i="88"/>
  <c r="G40" i="88"/>
  <c r="C39" i="88"/>
  <c r="I38" i="88"/>
  <c r="G38" i="88"/>
  <c r="G37" i="88"/>
  <c r="I37" i="88"/>
  <c r="C36" i="88"/>
  <c r="J32" i="88"/>
  <c r="C118" i="88" s="1"/>
  <c r="E118" i="88" s="1"/>
  <c r="I20" i="88"/>
  <c r="I12" i="88"/>
  <c r="C33" i="31"/>
  <c r="J20" i="31"/>
  <c r="J18" i="31"/>
  <c r="J13" i="31"/>
  <c r="G13" i="31"/>
  <c r="D117" i="31"/>
  <c r="D116" i="31"/>
  <c r="D115" i="31"/>
  <c r="D114" i="31"/>
  <c r="D109" i="31"/>
  <c r="D111" i="31"/>
  <c r="D112" i="31"/>
  <c r="D113" i="31"/>
  <c r="D121" i="51"/>
  <c r="G122" i="89" s="1"/>
  <c r="G123" i="89"/>
  <c r="D123" i="51"/>
  <c r="G124" i="89" s="1"/>
  <c r="D124" i="51"/>
  <c r="G125" i="89" s="1"/>
  <c r="D125" i="51"/>
  <c r="G126" i="89" s="1"/>
  <c r="D126" i="51"/>
  <c r="G127" i="89" s="1"/>
  <c r="D120" i="51"/>
  <c r="G121" i="89" s="1"/>
  <c r="D127" i="51"/>
  <c r="G128" i="89" s="1"/>
  <c r="D128" i="51"/>
  <c r="G129" i="89" s="1"/>
  <c r="D34" i="50"/>
  <c r="D33" i="50"/>
  <c r="D129" i="51"/>
  <c r="G36" i="67" l="1"/>
  <c r="I19" i="31"/>
  <c r="J19" i="31" s="1"/>
  <c r="I21" i="31"/>
  <c r="J21" i="31" s="1"/>
  <c r="J37" i="93"/>
  <c r="J41" i="93" s="1"/>
  <c r="G42" i="89"/>
  <c r="E119" i="88"/>
  <c r="E124" i="88"/>
  <c r="I36" i="88"/>
  <c r="E121" i="88"/>
  <c r="G39" i="88"/>
  <c r="E122" i="88"/>
  <c r="G36" i="88"/>
  <c r="I39" i="88"/>
  <c r="C120" i="88" s="1"/>
  <c r="E120" i="88" s="1"/>
  <c r="D105" i="88"/>
  <c r="E108" i="88" s="1"/>
  <c r="C117" i="88"/>
  <c r="E117" i="88" s="1"/>
  <c r="E126" i="88" s="1"/>
  <c r="C125" i="88"/>
  <c r="E125" i="88" s="1"/>
  <c r="C123" i="88"/>
  <c r="E123" i="88" s="1"/>
  <c r="D96" i="88"/>
  <c r="D98" i="88" s="1"/>
  <c r="I13" i="31"/>
  <c r="E31" i="93" l="1"/>
  <c r="E46" i="55" s="1"/>
  <c r="E14" i="93"/>
  <c r="E16" i="93" s="1"/>
  <c r="K39" i="93"/>
  <c r="J33" i="31"/>
  <c r="D52" i="31" s="1"/>
  <c r="J14" i="89"/>
  <c r="E25" i="91" l="1"/>
  <c r="C38" i="91" s="1"/>
  <c r="E52" i="31"/>
  <c r="E51" i="31"/>
  <c r="D51" i="31"/>
  <c r="I22" i="89"/>
  <c r="I14" i="89"/>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E27" i="85" l="1"/>
  <c r="H12" i="85" s="1"/>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E51" i="24" l="1"/>
  <c r="E78" i="50" l="1"/>
  <c r="D78" i="50"/>
  <c r="E72" i="50"/>
  <c r="D72" i="50"/>
  <c r="C72" i="50"/>
  <c r="B72" i="50"/>
  <c r="G47" i="51" l="1"/>
  <c r="G48" i="51"/>
  <c r="F80" i="51"/>
  <c r="G79" i="89" s="1"/>
  <c r="G79" i="51"/>
  <c r="I78" i="89" s="1"/>
  <c r="F79" i="51"/>
  <c r="G78" i="89" s="1"/>
  <c r="D75" i="51" l="1"/>
  <c r="E74" i="89" s="1"/>
  <c r="E74" i="51"/>
  <c r="F73" i="89" s="1"/>
  <c r="D74" i="51"/>
  <c r="E73" i="89" s="1"/>
  <c r="E43" i="51"/>
  <c r="F43" i="89" s="1"/>
  <c r="D43" i="51"/>
  <c r="E43" i="89" s="1"/>
  <c r="E40" i="51"/>
  <c r="D40" i="51"/>
  <c r="D41" i="31"/>
  <c r="E38" i="31"/>
  <c r="D38" i="31"/>
  <c r="E40" i="31"/>
  <c r="D40" i="31"/>
  <c r="E39" i="31"/>
  <c r="D39" i="31"/>
  <c r="A145" i="33"/>
  <c r="G22" i="89" l="1"/>
  <c r="E89" i="33"/>
  <c r="D10" i="51"/>
  <c r="D11" i="89" s="1"/>
  <c r="D10" i="31"/>
  <c r="E42" i="31"/>
  <c r="D43" i="31"/>
  <c r="E77" i="51"/>
  <c r="F76" i="89" s="1"/>
  <c r="D77" i="51"/>
  <c r="E76" i="89" s="1"/>
  <c r="G11" i="31"/>
  <c r="J10" i="31"/>
  <c r="H10" i="31"/>
  <c r="E61" i="31" s="1"/>
  <c r="J9" i="31"/>
  <c r="I9" i="31"/>
  <c r="B9" i="31"/>
  <c r="E21" i="91" s="1"/>
  <c r="G8" i="31"/>
  <c r="G7" i="31"/>
  <c r="B7" i="31"/>
  <c r="G6" i="31"/>
  <c r="B6" i="31"/>
  <c r="G5" i="31"/>
  <c r="G4" i="31"/>
  <c r="B4" i="31"/>
  <c r="G3" i="31"/>
  <c r="B3" i="31"/>
  <c r="F75" i="31"/>
  <c r="G11" i="67" s="1"/>
  <c r="G74" i="31"/>
  <c r="F74" i="31"/>
  <c r="G10" i="67"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C36" i="91" l="1"/>
  <c r="C116" i="31"/>
  <c r="E116" i="31" s="1"/>
  <c r="C115" i="31"/>
  <c r="E115"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J21" i="89"/>
  <c r="J20" i="89"/>
  <c r="J19" i="89"/>
  <c r="C38" i="31" l="1"/>
  <c r="G17" i="67"/>
  <c r="G8" i="67"/>
  <c r="C43" i="31"/>
  <c r="G43" i="31" s="1"/>
  <c r="C113" i="31" s="1"/>
  <c r="C42" i="31"/>
  <c r="J34" i="89" l="1"/>
  <c r="G20" i="67"/>
  <c r="J22" i="89"/>
  <c r="C43" i="51"/>
  <c r="F43" i="31"/>
  <c r="B57" i="33"/>
  <c r="C43" i="89" l="1"/>
  <c r="G43" i="89" s="1"/>
  <c r="C44" i="89"/>
  <c r="G44" i="89" s="1"/>
  <c r="D54" i="51"/>
  <c r="E51" i="89" s="1"/>
  <c r="E85" i="33"/>
  <c r="E54" i="51"/>
  <c r="F51" i="89" s="1"/>
  <c r="C123" i="51"/>
  <c r="C126" i="51"/>
  <c r="D53" i="51"/>
  <c r="E50" i="89" s="1"/>
  <c r="D99" i="89"/>
  <c r="D108" i="89"/>
  <c r="E53" i="51"/>
  <c r="F50" i="89" s="1"/>
  <c r="B10" i="51"/>
  <c r="G77" i="51"/>
  <c r="C125" i="51" s="1"/>
  <c r="F77" i="51"/>
  <c r="B10" i="31"/>
  <c r="E24" i="91" s="1"/>
  <c r="C37" i="91" s="1"/>
  <c r="C39" i="91" s="1"/>
  <c r="C40" i="91" s="1"/>
  <c r="C41" i="91" s="1"/>
  <c r="C42" i="91" s="1"/>
  <c r="C43" i="91" s="1"/>
  <c r="C44" i="91" s="1"/>
  <c r="C45" i="91" s="1"/>
  <c r="G70" i="51" l="1"/>
  <c r="G71" i="31"/>
  <c r="E123" i="51"/>
  <c r="F124" i="89"/>
  <c r="H124" i="89" s="1"/>
  <c r="E126" i="51"/>
  <c r="F127" i="89"/>
  <c r="H127" i="89" s="1"/>
  <c r="B11" i="89"/>
  <c r="E125" i="51"/>
  <c r="F126" i="89"/>
  <c r="H126" i="89" s="1"/>
  <c r="C58" i="89"/>
  <c r="C39" i="89"/>
  <c r="G39" i="89" s="1"/>
  <c r="C39" i="31"/>
  <c r="B9" i="51"/>
  <c r="B7" i="51"/>
  <c r="B8" i="89" s="1"/>
  <c r="B6" i="51"/>
  <c r="B7" i="89" s="1"/>
  <c r="B4" i="51"/>
  <c r="B5" i="89" s="1"/>
  <c r="B3" i="51"/>
  <c r="B4" i="89" s="1"/>
  <c r="E90" i="33"/>
  <c r="D130" i="33" s="1"/>
  <c r="F44" i="33"/>
  <c r="F45" i="33"/>
  <c r="F46" i="33"/>
  <c r="F47" i="33"/>
  <c r="D108" i="31"/>
  <c r="D67" i="31"/>
  <c r="D70" i="31" s="1"/>
  <c r="E113" i="31"/>
  <c r="C109" i="31"/>
  <c r="C117" i="31"/>
  <c r="E117" i="31" s="1"/>
  <c r="D66" i="31"/>
  <c r="D68" i="31" s="1"/>
  <c r="D69" i="31" s="1"/>
  <c r="E63" i="31"/>
  <c r="D63" i="31"/>
  <c r="E58" i="31"/>
  <c r="E50" i="31"/>
  <c r="E49" i="31"/>
  <c r="D50" i="31"/>
  <c r="D49" i="31"/>
  <c r="E44" i="51"/>
  <c r="F44" i="89" s="1"/>
  <c r="D162" i="33" l="1"/>
  <c r="F169" i="33" s="1"/>
  <c r="F180" i="33" s="1"/>
  <c r="B10" i="89"/>
  <c r="C129" i="51"/>
  <c r="E129" i="51" s="1"/>
  <c r="C128" i="51"/>
  <c r="C121" i="51"/>
  <c r="C122" i="51"/>
  <c r="C120" i="51"/>
  <c r="C127" i="51"/>
  <c r="E109" i="31"/>
  <c r="E128" i="51" l="1"/>
  <c r="F129" i="89"/>
  <c r="H129" i="89" s="1"/>
  <c r="E121" i="51"/>
  <c r="F122" i="89"/>
  <c r="H122" i="89" s="1"/>
  <c r="E127" i="51"/>
  <c r="F128" i="89"/>
  <c r="H128" i="89" s="1"/>
  <c r="E122" i="51"/>
  <c r="F123" i="89"/>
  <c r="H123" i="89" s="1"/>
  <c r="E120" i="51"/>
  <c r="F121" i="89"/>
  <c r="H121" i="89" s="1"/>
  <c r="C41" i="31"/>
  <c r="B90" i="31"/>
  <c r="F38" i="31"/>
  <c r="G38" i="31"/>
  <c r="C110" i="31"/>
  <c r="E110" i="31" s="1"/>
  <c r="C108" i="31"/>
  <c r="E108" i="31" s="1"/>
  <c r="C114" i="31"/>
  <c r="E114" i="31" s="1"/>
  <c r="C111" i="31"/>
  <c r="E111" i="31" s="1"/>
  <c r="G39" i="51"/>
  <c r="I40" i="89" s="1"/>
  <c r="G41" i="51"/>
  <c r="I42" i="89" s="1"/>
  <c r="G42" i="51"/>
  <c r="F39" i="51"/>
  <c r="F41" i="51"/>
  <c r="F42" i="51"/>
  <c r="F47" i="51"/>
  <c r="F48" i="51"/>
  <c r="F55" i="51"/>
  <c r="G52" i="89" s="1"/>
  <c r="F56" i="51"/>
  <c r="G53" i="89" s="1"/>
  <c r="F70" i="51"/>
  <c r="D65" i="51"/>
  <c r="E64" i="89" s="1"/>
  <c r="D66" i="51"/>
  <c r="E62" i="51"/>
  <c r="F61" i="89" s="1"/>
  <c r="D62" i="51"/>
  <c r="E61" i="89" s="1"/>
  <c r="E58" i="51"/>
  <c r="F58" i="89"/>
  <c r="E55" i="51"/>
  <c r="E56" i="51"/>
  <c r="E76" i="51"/>
  <c r="E51" i="51"/>
  <c r="F48" i="89" s="1"/>
  <c r="E52" i="51"/>
  <c r="F49" i="89" s="1"/>
  <c r="E37" i="51"/>
  <c r="G55" i="51" l="1"/>
  <c r="I52" i="89" s="1"/>
  <c r="F52" i="89"/>
  <c r="G56" i="51"/>
  <c r="I53" i="89" s="1"/>
  <c r="F53" i="89"/>
  <c r="F55" i="89"/>
  <c r="F57" i="89"/>
  <c r="D69" i="51"/>
  <c r="E68" i="89" s="1"/>
  <c r="E65" i="89"/>
  <c r="G76" i="51"/>
  <c r="F75" i="89"/>
  <c r="G31" i="67"/>
  <c r="G37" i="67" s="1"/>
  <c r="D68" i="51"/>
  <c r="E67" i="89" s="1"/>
  <c r="D67" i="51"/>
  <c r="E66" i="89" s="1"/>
  <c r="D52" i="51"/>
  <c r="D76" i="51"/>
  <c r="D51" i="51"/>
  <c r="C110" i="51"/>
  <c r="C101" i="51"/>
  <c r="D41" i="33" l="1"/>
  <c r="E49" i="89"/>
  <c r="D40" i="33"/>
  <c r="E48" i="89"/>
  <c r="F76" i="51"/>
  <c r="E75" i="89"/>
  <c r="C57" i="33" l="1"/>
  <c r="E57" i="33" l="1"/>
  <c r="D163" i="33" s="1"/>
  <c r="F170" i="33" s="1"/>
  <c r="D42" i="33"/>
  <c r="C74" i="51"/>
  <c r="C73" i="89" s="1"/>
  <c r="C40" i="51"/>
  <c r="C41" i="89" s="1"/>
  <c r="G41" i="89" s="1"/>
  <c r="C44" i="51"/>
  <c r="C45" i="89" s="1"/>
  <c r="G45" i="89" s="1"/>
  <c r="C61" i="51"/>
  <c r="C60" i="89" s="1"/>
  <c r="C75" i="51"/>
  <c r="C74" i="89" s="1"/>
  <c r="B94" i="51"/>
  <c r="B93" i="89" s="1"/>
  <c r="C49" i="51"/>
  <c r="I58" i="89"/>
  <c r="C58" i="51"/>
  <c r="C53" i="51"/>
  <c r="C50" i="89" s="1"/>
  <c r="C52" i="51"/>
  <c r="C49" i="89" s="1"/>
  <c r="C51" i="51"/>
  <c r="C48" i="89" s="1"/>
  <c r="C37" i="51"/>
  <c r="C54" i="51"/>
  <c r="C51" i="89" s="1"/>
  <c r="D109" i="51"/>
  <c r="D100" i="51"/>
  <c r="G49" i="51" l="1"/>
  <c r="I46" i="89" s="1"/>
  <c r="C46" i="89"/>
  <c r="G58" i="51"/>
  <c r="C55" i="89"/>
  <c r="C57" i="89"/>
  <c r="G37" i="51"/>
  <c r="I38" i="89" s="1"/>
  <c r="C38" i="89"/>
  <c r="G38" i="89" s="1"/>
  <c r="D100" i="89"/>
  <c r="D101" i="89" s="1"/>
  <c r="D109" i="89"/>
  <c r="C49" i="67"/>
  <c r="E91" i="33"/>
  <c r="D131" i="33"/>
  <c r="G57" i="33"/>
  <c r="D164" i="33" s="1"/>
  <c r="F171" i="33" s="1"/>
  <c r="F172" i="33" s="1"/>
  <c r="F44" i="51"/>
  <c r="G44" i="51"/>
  <c r="I44" i="89" s="1"/>
  <c r="G40" i="51"/>
  <c r="I41" i="89" s="1"/>
  <c r="F40" i="51"/>
  <c r="C71" i="51"/>
  <c r="G43" i="51"/>
  <c r="I43" i="89" s="1"/>
  <c r="F43" i="51"/>
  <c r="E43" i="33"/>
  <c r="G54" i="51"/>
  <c r="I51" i="89" s="1"/>
  <c r="F54" i="51"/>
  <c r="G51" i="89" s="1"/>
  <c r="I39" i="89"/>
  <c r="E40" i="33"/>
  <c r="F40" i="33" s="1"/>
  <c r="G51" i="51"/>
  <c r="I48" i="89" s="1"/>
  <c r="F51" i="51"/>
  <c r="G48" i="89" s="1"/>
  <c r="E41" i="33"/>
  <c r="F41" i="33" s="1"/>
  <c r="G52" i="51"/>
  <c r="I49" i="89" s="1"/>
  <c r="F52" i="51"/>
  <c r="G49" i="89" s="1"/>
  <c r="E42" i="33"/>
  <c r="F42" i="33" s="1"/>
  <c r="G53" i="51"/>
  <c r="I50" i="89" s="1"/>
  <c r="F53" i="51"/>
  <c r="G50" i="89" s="1"/>
  <c r="D43" i="33"/>
  <c r="C62" i="51"/>
  <c r="C61" i="89" s="1"/>
  <c r="G61" i="51"/>
  <c r="I60" i="89" s="1"/>
  <c r="D101" i="51"/>
  <c r="D102" i="51" s="1"/>
  <c r="D110" i="51"/>
  <c r="H175" i="33" l="1"/>
  <c r="F137" i="33" s="1"/>
  <c r="H176" i="33"/>
  <c r="I69" i="89"/>
  <c r="B93" i="51"/>
  <c r="B92" i="89" s="1"/>
  <c r="C70" i="89"/>
  <c r="I55" i="89"/>
  <c r="I57" i="89"/>
  <c r="D132" i="33"/>
  <c r="D133" i="33" s="1"/>
  <c r="E86" i="33"/>
  <c r="E49" i="67"/>
  <c r="G49" i="67" s="1"/>
  <c r="J86" i="51"/>
  <c r="I85" i="89" s="1"/>
  <c r="F43" i="33"/>
  <c r="F49" i="33" s="1"/>
  <c r="F141" i="33"/>
  <c r="C72" i="31" s="1"/>
  <c r="E98" i="33"/>
  <c r="G62" i="51"/>
  <c r="I61" i="89" s="1"/>
  <c r="F62" i="51"/>
  <c r="F184" i="33" l="1"/>
  <c r="F138" i="33"/>
  <c r="H178" i="33"/>
  <c r="F185" i="33"/>
  <c r="F50" i="33"/>
  <c r="E187" i="33" s="1"/>
  <c r="F187" i="33" s="1"/>
  <c r="E87" i="33"/>
  <c r="F186" i="33" l="1"/>
  <c r="C67" i="5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3" i="31"/>
  <c r="G61" i="31"/>
  <c r="F61" i="31"/>
  <c r="F47" i="31"/>
  <c r="G47" i="31"/>
  <c r="F52" i="31"/>
  <c r="G52" i="31"/>
  <c r="E114" i="33"/>
  <c r="F51" i="31"/>
  <c r="G51" i="31"/>
  <c r="G49" i="31"/>
  <c r="F49" i="31"/>
  <c r="F36" i="31"/>
  <c r="G36" i="31"/>
  <c r="D122"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89"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F42" i="31"/>
  <c r="F41" i="31"/>
  <c r="G41" i="31"/>
  <c r="G19" i="67" s="1"/>
  <c r="G33" i="67" l="1"/>
  <c r="C112" i="31"/>
  <c r="E112" i="31" s="1"/>
  <c r="E118" i="31" s="1"/>
  <c r="G34" i="67" l="1"/>
  <c r="G38" i="67"/>
  <c r="G39" i="67" s="1"/>
  <c r="H34" i="67"/>
  <c r="C45" i="67" s="1"/>
  <c r="F75" i="51" l="1"/>
  <c r="G75" i="51"/>
  <c r="F74" i="51"/>
  <c r="G74" i="51"/>
  <c r="C124" i="51" l="1"/>
  <c r="F125" i="89" s="1"/>
  <c r="H125" i="89" s="1"/>
  <c r="H130" i="89" s="1"/>
  <c r="I74" i="89"/>
  <c r="E99" i="33"/>
  <c r="D134" i="33" l="1"/>
  <c r="F136" i="33" s="1"/>
  <c r="D165" i="33"/>
  <c r="F173" i="33" s="1"/>
  <c r="E45" i="67"/>
  <c r="G45" i="67" s="1"/>
  <c r="I34" i="67"/>
  <c r="E124" i="51"/>
  <c r="E130" i="51" s="1"/>
  <c r="G63" i="51" s="1"/>
  <c r="F181" i="33" l="1"/>
  <c r="F182" i="33" s="1"/>
  <c r="F183" i="33" s="1"/>
  <c r="H174" i="33"/>
  <c r="H177" i="33" s="1"/>
  <c r="G72" i="51"/>
  <c r="E47" i="67" s="1"/>
  <c r="I62" i="89"/>
  <c r="C65" i="51"/>
  <c r="C66" i="51" s="1"/>
  <c r="C66" i="31"/>
  <c r="H39" i="67" s="1"/>
  <c r="C48" i="67" s="1"/>
  <c r="F139" i="33"/>
  <c r="J90" i="51" l="1"/>
  <c r="I89" i="89" s="1"/>
  <c r="F66" i="51"/>
  <c r="G65" i="89" s="1"/>
  <c r="C65" i="89"/>
  <c r="I39" i="67"/>
  <c r="E48" i="67" s="1"/>
  <c r="G48" i="67" s="1"/>
  <c r="C64" i="89"/>
  <c r="F65" i="51"/>
  <c r="D114" i="51"/>
  <c r="E112" i="51" s="1"/>
  <c r="J39" i="67"/>
  <c r="D105" i="51"/>
  <c r="I71" i="89"/>
  <c r="F72" i="51" l="1"/>
  <c r="E46" i="67" s="1"/>
  <c r="E93" i="33"/>
  <c r="G21" i="67"/>
  <c r="D113" i="89"/>
  <c r="E111" i="89" s="1"/>
  <c r="D104" i="89"/>
  <c r="E92" i="33"/>
  <c r="G64" i="89"/>
  <c r="J83" i="51" l="1"/>
  <c r="I14" i="67" s="1"/>
  <c r="E42" i="67" s="1"/>
  <c r="G71" i="89"/>
  <c r="F78" i="51"/>
  <c r="G77" i="89" s="1"/>
  <c r="E97" i="33"/>
  <c r="E100" i="33" s="1"/>
  <c r="J84" i="51" s="1"/>
  <c r="I82" i="89" l="1"/>
  <c r="J86"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5" i="51"/>
  <c r="B94" i="89" s="1"/>
  <c r="C43" i="67" l="1"/>
  <c r="H11" i="86"/>
  <c r="C87" i="89"/>
  <c r="E27" i="24"/>
  <c r="H12" i="24" s="1"/>
  <c r="I28" i="67"/>
  <c r="E44" i="67" s="1"/>
  <c r="F66" i="31"/>
  <c r="C67" i="31"/>
  <c r="F67" i="31" s="1"/>
  <c r="D127" i="31"/>
  <c r="F125" i="31" s="1"/>
  <c r="J79" i="31" s="1"/>
  <c r="E22" i="86" l="1"/>
  <c r="E25" i="86"/>
  <c r="E17" i="86"/>
  <c r="E15" i="86"/>
  <c r="E14" i="86"/>
  <c r="E16" i="86"/>
  <c r="E20" i="86"/>
  <c r="E26" i="86"/>
  <c r="E12" i="86"/>
  <c r="E23" i="86"/>
  <c r="E13" i="86"/>
  <c r="E19" i="86"/>
  <c r="E24" i="86"/>
  <c r="E18" i="86"/>
  <c r="E9" i="86"/>
  <c r="E10" i="86"/>
  <c r="E8" i="86"/>
  <c r="E11" i="86"/>
  <c r="E7" i="86"/>
  <c r="E21" i="86"/>
  <c r="F73" i="31"/>
  <c r="C46" i="67" l="1"/>
  <c r="G46" i="67" s="1"/>
  <c r="J78" i="31"/>
  <c r="H14" i="67" s="1"/>
  <c r="C42" i="67" s="1"/>
  <c r="G42" i="67" s="1"/>
  <c r="E27" i="86"/>
  <c r="H12" i="86" s="1"/>
  <c r="G25" i="67"/>
  <c r="G28" i="67" s="1"/>
  <c r="C44" i="67" s="1"/>
  <c r="G44" i="67" s="1"/>
  <c r="H22" i="67"/>
  <c r="G18" i="67"/>
  <c r="G22" i="67" s="1"/>
  <c r="G43" i="67" s="1"/>
  <c r="G9" i="67"/>
  <c r="G14" i="67" s="1"/>
  <c r="B91" i="31"/>
  <c r="F88" i="51" l="1"/>
  <c r="F83" i="31"/>
  <c r="H83" i="31" s="1"/>
  <c r="H28" i="67"/>
  <c r="E87" i="89" l="1"/>
  <c r="H88" i="51"/>
  <c r="B88" i="31"/>
  <c r="J85" i="31"/>
  <c r="G64" i="31"/>
  <c r="G73" i="31" s="1"/>
  <c r="C47" i="67" s="1"/>
  <c r="J89" i="51" l="1"/>
  <c r="I88" i="89" s="1"/>
  <c r="G87" i="89"/>
  <c r="B92" i="51"/>
  <c r="B91" i="89" s="1"/>
  <c r="G47" i="67"/>
  <c r="J84" i="31"/>
  <c r="B50" i="93" l="1"/>
  <c r="B48" i="93" l="1"/>
  <c r="E48" i="93" l="1"/>
  <c r="G48" i="93" l="1"/>
  <c r="E51" i="93" l="1"/>
  <c r="E50" i="93" l="1"/>
  <c r="B49" i="93" l="1"/>
  <c r="E49" i="93" l="1"/>
  <c r="B51" i="93"/>
  <c r="G49" i="93" l="1"/>
  <c r="G52" i="93" s="1"/>
  <c r="E52" i="9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B26" authorId="0" shapeId="0" xr:uid="{884A639B-8148-4906-BC87-0D7F17498A07}">
      <text>
        <r>
          <rPr>
            <b/>
            <sz val="9"/>
            <color indexed="81"/>
            <rFont val="Tahoma"/>
            <charset val="1"/>
          </rPr>
          <t>PC:</t>
        </r>
        <r>
          <rPr>
            <sz val="9"/>
            <color indexed="81"/>
            <rFont val="Tahoma"/>
            <charset val="1"/>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AE95335A-1B45-490B-B383-0EC4AB559F42}">
      <text>
        <r>
          <rPr>
            <sz val="9"/>
            <color indexed="81"/>
            <rFont val="Tahoma"/>
            <family val="2"/>
          </rPr>
          <t xml:space="preserve">Les infos que vous retrouvez à ce niveau sont répercutées automatiquement dans le BP 
</t>
        </r>
      </text>
    </comment>
    <comment ref="H18" authorId="0" shapeId="0" xr:uid="{C13DC5BD-F900-4B22-98E4-8EFB03052FA4}">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0BE0DFD6-4D7A-4C3F-B88E-0692A738791D}">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0D6410DF-6930-46A0-8AE6-7FD04BE6E4F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A115" authorId="0" shapeId="0" xr:uid="{BBD1BE7E-A4F3-41A1-B2C4-E6D98804F604}">
      <text>
        <r>
          <rPr>
            <sz val="9"/>
            <color indexed="81"/>
            <rFont val="Tahoma"/>
            <family val="2"/>
          </rPr>
          <t>(Si Effectifs salariés &gt; = 11 )</t>
        </r>
      </text>
    </comment>
    <comment ref="A116" authorId="0" shapeId="0" xr:uid="{E8FB5853-A23F-40D5-BAB8-E854218F87EB}">
      <text>
        <r>
          <rPr>
            <sz val="9"/>
            <color indexed="81"/>
            <rFont val="Tahoma"/>
            <family val="2"/>
          </rPr>
          <t xml:space="preserve">(Si Effectifs salariés &lt; 11 )
</t>
        </r>
      </text>
    </comment>
    <comment ref="E118" authorId="0" shapeId="0" xr:uid="{00000000-0006-0000-0500-00001A000000}">
      <text>
        <r>
          <rPr>
            <sz val="9"/>
            <color indexed="81"/>
            <rFont val="Tahoma"/>
            <family val="2"/>
          </rPr>
          <t xml:space="preserve">Ce montant est reporté à la Ligne Autres Contributions de l'Employeur du BP 
Ligne 60
</t>
        </r>
      </text>
    </comment>
    <comment ref="C121"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7" authorId="0" shapeId="0" xr:uid="{BFEDBB6E-691B-429D-B8B9-A462B61DFA9C}">
      <text>
        <r>
          <rPr>
            <sz val="9"/>
            <color indexed="81"/>
            <rFont val="Tahoma"/>
            <family val="2"/>
          </rPr>
          <t>(Si Effectifs salariés &gt; = 11 )</t>
        </r>
      </text>
    </comment>
    <comment ref="A128" authorId="0" shapeId="0" xr:uid="{A1292D6F-BB50-450C-A96E-D690FE86E73E}">
      <text>
        <r>
          <rPr>
            <sz val="9"/>
            <color indexed="81"/>
            <rFont val="Tahoma"/>
            <family val="2"/>
          </rPr>
          <t xml:space="preserve">(Si Effectifs salariés &lt; 11 )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 ref="F168" authorId="0" shapeId="0" xr:uid="{FA95DE67-FE88-4AD9-9E66-29F3AC8F591F}">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73" authorId="0" shapeId="0" xr:uid="{A6A7B982-CEF7-45FC-BD1E-696672A5AE57}">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sharedStrings.xml><?xml version="1.0" encoding="utf-8"?>
<sst xmlns="http://schemas.openxmlformats.org/spreadsheetml/2006/main" count="1455" uniqueCount="833">
  <si>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</si>
  <si>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</si>
  <si>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</si>
  <si>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</si>
  <si>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</si>
  <si>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</si>
  <si>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</si>
  <si>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</si>
  <si>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</si>
  <si>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</si>
  <si>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</si>
  <si>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</si>
  <si>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</si>
  <si>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</si>
  <si>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</si>
  <si>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</si>
  <si>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</si>
  <si>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</si>
  <si>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</si>
  <si>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</si>
  <si>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</si>
  <si>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</si>
  <si>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</si>
  <si>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</si>
  <si>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</si>
  <si>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</si>
  <si>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</si>
  <si>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</si>
  <si>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</si>
  <si>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</si>
  <si>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</si>
  <si>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</si>
  <si>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</si>
  <si>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</si>
  <si>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</si>
  <si>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</si>
  <si>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</si>
  <si>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</si>
  <si>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</si>
  <si>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</si>
  <si>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</si>
  <si>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</si>
  <si>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</si>
  <si>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</si>
  <si>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</si>
  <si>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</si>
  <si>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</si>
  <si>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</si>
  <si>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</si>
  <si>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</si>
  <si>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</si>
  <si>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</si>
  <si>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</si>
  <si>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</si>
  <si>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</si>
  <si>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</si>
  <si>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</si>
  <si>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</si>
  <si>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</si>
  <si>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</si>
  <si>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</si>
  <si>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</si>
  <si>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</si>
  <si>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</si>
  <si>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</si>
  <si>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</si>
  <si>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</si>
  <si>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</si>
  <si>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</si>
  <si>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</si>
  <si>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</si>
  <si>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</si>
  <si>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</si>
  <si>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</si>
  <si>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</si>
  <si>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</si>
  <si>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</si>
  <si>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</si>
  <si>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</si>
  <si>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</si>
  <si>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</si>
  <si>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</si>
  <si>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</si>
  <si>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</si>
  <si>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</si>
  <si>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</si>
  <si>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</si>
  <si>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</si>
  <si>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</si>
  <si>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</si>
  <si>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</si>
  <si>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</si>
  <si>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</si>
  <si>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</si>
  <si>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</si>
  <si>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</si>
  <si>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</si>
  <si>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</si>
  <si>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</si>
  <si>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</si>
  <si>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</si>
  <si>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</si>
  <si>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</si>
  <si>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</si>
  <si>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</si>
  <si>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</si>
  <si>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</si>
  <si>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</si>
  <si>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</si>
  <si>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</si>
  <si>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</si>
  <si>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</si>
  <si>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</si>
  <si>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</si>
  <si>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</si>
  <si>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</si>
  <si>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</si>
  <si>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</si>
  <si>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</si>
  <si>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</si>
  <si>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</si>
  <si>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</si>
  <si>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</si>
  <si>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</si>
  <si>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</si>
  <si>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</si>
  <si>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</si>
  <si>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</si>
  <si>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</si>
  <si>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</si>
  <si>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</si>
  <si>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</si>
  <si>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</si>
  <si>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</si>
  <si>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</si>
  <si>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</si>
  <si>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</si>
  <si>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</si>
  <si>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</si>
  <si>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</si>
  <si>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</si>
  <si>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</si>
  <si>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</si>
  <si>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</si>
  <si>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</si>
  <si>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</si>
  <si>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</si>
  <si>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</si>
  <si>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</si>
  <si>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</si>
  <si>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</si>
  <si>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</si>
  <si>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</si>
  <si>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</si>
  <si>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</si>
  <si>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</si>
  <si>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</si>
  <si>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</si>
  <si>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</si>
  <si>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</si>
  <si>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</si>
  <si>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</si>
  <si>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</si>
  <si>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</si>
  <si>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</si>
  <si>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</si>
  <si>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</si>
  <si>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</si>
  <si>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</si>
  <si>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</si>
  <si>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</si>
  <si>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</si>
  <si>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</si>
  <si>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</si>
  <si>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</si>
  <si>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</si>
  <si>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</si>
  <si>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</si>
  <si>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</si>
  <si>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</si>
  <si>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</si>
  <si>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</si>
  <si>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</si>
  <si>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</si>
  <si>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</si>
  <si>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</si>
  <si>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</si>
  <si>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</si>
  <si>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</si>
  <si>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</si>
  <si>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</si>
  <si>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</si>
  <si>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</si>
  <si>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</si>
  <si>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</si>
  <si>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</si>
  <si>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</si>
  <si>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</si>
  <si>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</si>
  <si>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</si>
  <si>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</si>
  <si>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</si>
  <si>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</si>
  <si>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</si>
  <si>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</si>
  <si>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</si>
  <si>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</si>
  <si>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</si>
  <si>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</si>
  <si>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</si>
  <si>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</si>
  <si>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</si>
  <si>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</si>
  <si>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</si>
  <si>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</si>
  <si>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</si>
  <si>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</si>
  <si>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</si>
  <si>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</si>
  <si>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</si>
  <si>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</si>
  <si>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</si>
  <si>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</si>
  <si>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</si>
  <si>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</si>
  <si>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</si>
  <si>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</si>
  <si>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</si>
  <si>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</si>
  <si>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</si>
  <si>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</si>
  <si>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</si>
  <si>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</si>
  <si>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</si>
  <si>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</si>
  <si>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</si>
  <si>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</si>
  <si>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</si>
  <si>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</si>
  <si>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</si>
  <si>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</si>
  <si>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</si>
  <si>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</si>
  <si>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</si>
  <si>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</si>
  <si>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</si>
  <si>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</si>
  <si>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</si>
  <si>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</si>
  <si>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</si>
  <si>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</si>
  <si>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</si>
  <si>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</si>
  <si>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</si>
  <si>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</si>
  <si>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</si>
  <si>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</si>
  <si>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</si>
  <si>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</si>
  <si>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</si>
  <si>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</si>
  <si>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</si>
  <si>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</si>
  <si>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</si>
  <si>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</si>
  <si>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</si>
  <si>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</si>
  <si>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</si>
  <si>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</si>
  <si>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</si>
  <si>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</si>
  <si>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</si>
  <si>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</si>
  <si>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</si>
  <si>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</si>
  <si>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</si>
  <si>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</si>
  <si>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</si>
  <si>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</si>
  <si>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</si>
  <si>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</si>
  <si>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</si>
  <si>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</si>
  <si>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</si>
  <si>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</si>
  <si>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</si>
  <si>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</si>
  <si>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</si>
  <si>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</si>
  <si>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</si>
  <si>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</si>
  <si>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</si>
  <si>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</si>
  <si>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</si>
  <si>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</si>
  <si>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</si>
  <si>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</si>
  <si>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</si>
  <si>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</si>
  <si>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</si>
  <si>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</si>
  <si>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</si>
  <si>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</si>
  <si>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</si>
  <si>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</si>
  <si>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</si>
  <si>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</si>
  <si>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</si>
  <si>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</si>
  <si>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</si>
  <si>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</si>
  <si>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</si>
  <si>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</si>
  <si>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</si>
  <si>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</si>
  <si>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</si>
  <si>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</si>
  <si>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</si>
  <si>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</si>
  <si>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</si>
  <si>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</si>
  <si>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</si>
  <si>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</si>
  <si>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</si>
  <si>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</si>
  <si>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</si>
  <si>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</si>
  <si>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</si>
  <si>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</si>
  <si>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</si>
  <si>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</si>
  <si>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</si>
  <si>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</si>
  <si>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</si>
  <si>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</si>
  <si>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</si>
  <si>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</si>
  <si>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</si>
  <si>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</si>
  <si>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</si>
  <si>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</si>
  <si>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</si>
  <si>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</si>
  <si>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</si>
  <si>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</si>
  <si>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</si>
  <si>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</si>
  <si>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</si>
  <si>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</si>
  <si>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</si>
  <si>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</si>
  <si>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</si>
  <si>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</si>
  <si>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</si>
  <si>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</si>
  <si>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</si>
  <si>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</si>
  <si>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</si>
  <si>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</si>
  <si>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</si>
  <si>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</si>
  <si>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</si>
  <si>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</si>
  <si>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</si>
  <si>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</si>
  <si>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</si>
  <si>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</si>
  <si>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</si>
  <si>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</si>
  <si>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</si>
  <si>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</si>
  <si>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</si>
  <si>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</si>
  <si>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</si>
  <si>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</si>
  <si>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</si>
  <si>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</si>
  <si>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</si>
  <si>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</si>
  <si>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</si>
  <si>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</si>
  <si>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</si>
  <si>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</si>
  <si>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</si>
  <si>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</si>
  <si>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IJSS  Nettes </t>
  </si>
  <si>
    <t xml:space="preserve">IJSS Brutes </t>
  </si>
  <si>
    <t xml:space="preserve">Net à payer </t>
  </si>
  <si>
    <t xml:space="preserve">      BULLETIN  DE  SALAIRE</t>
  </si>
  <si>
    <t xml:space="preserve">Cellule J33 (Salaire brut) </t>
  </si>
  <si>
    <t xml:space="preserve">Cellule F73 (TOTAL DES COTISATIONS SALARIALES) </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</si>
  <si>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</si>
  <si>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</si>
  <si>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</si>
  <si>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</si>
  <si>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</si>
  <si>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</si>
  <si>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</si>
  <si>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</si>
  <si>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</si>
  <si>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</si>
  <si>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</si>
  <si>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</si>
  <si>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</si>
  <si>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</si>
  <si>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</si>
  <si>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</si>
  <si>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</si>
  <si>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</si>
  <si>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</si>
  <si>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</si>
  <si>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</si>
  <si>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</si>
  <si>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</si>
  <si>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</si>
  <si>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</si>
  <si>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 xml:space="preserve">Report depuis les 2 BP </t>
  </si>
  <si>
    <t xml:space="preserve"> + Prévoyance  hors frais de santé </t>
  </si>
  <si>
    <t>Tx applicable  Paris et Petite couronne à pa</t>
  </si>
  <si>
    <t>A compter du 01/02/2024</t>
  </si>
  <si>
    <t xml:space="preserve">2,01 % / 1,6 % </t>
  </si>
  <si>
    <t xml:space="preserve">SMIC Mensuel  </t>
  </si>
  <si>
    <t>Taux du Versement Mobilité aiu 01/01/2024</t>
  </si>
  <si>
    <t>Grille du taux neutre 2025</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</si>
  <si>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</si>
  <si>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</si>
  <si>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</si>
  <si>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</si>
  <si>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</si>
  <si>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</si>
  <si>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</si>
  <si>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</si>
  <si>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</si>
  <si>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</si>
  <si>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</si>
  <si>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</si>
  <si>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</si>
  <si>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</si>
  <si>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</si>
  <si>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</si>
  <si>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</si>
  <si>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</si>
  <si>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</si>
  <si>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</si>
  <si>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</si>
  <si>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</si>
  <si>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</si>
  <si>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</si>
  <si>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</si>
  <si>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</si>
  <si>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</si>
  <si>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</si>
  <si>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</si>
  <si>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</si>
  <si>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</si>
  <si>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</si>
  <si>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</si>
  <si>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</si>
  <si>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</si>
  <si>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</si>
  <si>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</si>
  <si>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</si>
  <si>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</si>
  <si>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</si>
  <si>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</si>
  <si>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</si>
  <si>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</si>
  <si>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</si>
  <si>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</si>
  <si>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</si>
  <si>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</si>
  <si>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</si>
  <si>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</si>
  <si>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</si>
  <si>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</si>
  <si>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</si>
  <si>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</si>
  <si>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</si>
  <si>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</si>
  <si>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</si>
  <si>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</si>
  <si>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</si>
  <si>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</si>
  <si>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</si>
  <si>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</si>
  <si>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</si>
  <si>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</si>
  <si>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</si>
  <si>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</si>
  <si>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</si>
  <si>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</si>
  <si>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</si>
  <si>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</si>
  <si>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</si>
  <si>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</si>
  <si>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</si>
  <si>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</si>
  <si>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</si>
  <si>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</si>
  <si>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</si>
  <si>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</si>
  <si>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</si>
  <si>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</si>
  <si>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</si>
  <si>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</si>
  <si>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</si>
  <si>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</si>
  <si>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</si>
  <si>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</si>
  <si>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</si>
  <si>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</si>
  <si>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</si>
  <si>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</si>
  <si>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</si>
  <si>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</si>
  <si>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</si>
  <si>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</si>
  <si>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</si>
  <si>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</si>
  <si>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</si>
  <si>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</si>
  <si>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</si>
  <si>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</si>
  <si>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</si>
  <si>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</si>
  <si>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</si>
  <si>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</si>
  <si>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</si>
  <si>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</si>
  <si>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</si>
  <si>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</si>
  <si>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</si>
  <si>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</si>
  <si>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</si>
  <si>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</si>
  <si>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</si>
  <si>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</si>
  <si>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</si>
  <si>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</si>
  <si>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</si>
  <si>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</si>
  <si>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</si>
  <si>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</si>
  <si>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</si>
  <si>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</si>
  <si>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</si>
  <si>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</si>
  <si>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</si>
  <si>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</si>
  <si>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</si>
  <si>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</si>
  <si>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</si>
  <si>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</si>
  <si>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</si>
  <si>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</si>
  <si>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</si>
  <si>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</si>
  <si>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</si>
  <si>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</si>
  <si>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</si>
  <si>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</si>
  <si>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</si>
  <si>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</si>
  <si>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</si>
  <si>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</si>
  <si>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</si>
  <si>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</si>
  <si>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</si>
  <si>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</si>
  <si>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</si>
  <si>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</si>
  <si>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</si>
  <si>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</si>
  <si>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</si>
  <si>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</si>
  <si>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</si>
  <si>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</si>
  <si>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</si>
  <si>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</si>
  <si>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</si>
  <si>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</si>
  <si>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</si>
  <si>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</si>
  <si>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</si>
  <si>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</si>
  <si>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</si>
  <si>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</si>
  <si>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</si>
  <si>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</si>
  <si>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</si>
  <si>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</si>
  <si>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</si>
  <si>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</si>
  <si>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</si>
  <si>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</si>
  <si>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</si>
  <si>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</si>
  <si>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</si>
  <si>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</si>
  <si>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</si>
  <si>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</si>
  <si>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</si>
  <si>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</si>
  <si>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</si>
  <si>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</si>
  <si>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</si>
  <si>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</si>
  <si>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</si>
  <si>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</si>
  <si>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</si>
  <si>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</si>
  <si>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</si>
  <si>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</si>
  <si>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</si>
  <si>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</si>
  <si>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</si>
  <si>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</si>
  <si>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</si>
  <si>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</si>
  <si>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</si>
  <si>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</si>
  <si>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</si>
  <si>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</si>
  <si>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</si>
  <si>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</si>
  <si>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</si>
  <si>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</si>
  <si>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</si>
  <si>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</si>
  <si>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Déduction forfaitaire heures supplémentaires </t>
  </si>
  <si>
    <t>Ne pas modifier la cellule ci-contre</t>
  </si>
  <si>
    <t xml:space="preserve">Report dans la cellule G71  du BP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</si>
  <si>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</si>
  <si>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</si>
  <si>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</si>
  <si>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</si>
  <si>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</si>
  <si>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</si>
  <si>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</si>
  <si>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</si>
  <si>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</si>
  <si>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</si>
  <si>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</si>
  <si>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</si>
  <si>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</si>
  <si>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</si>
  <si>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</si>
  <si>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</si>
  <si>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</si>
  <si>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</si>
  <si>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</si>
  <si>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</si>
  <si>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</si>
  <si>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</si>
  <si>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</si>
  <si>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</si>
  <si>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</si>
  <si>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</si>
  <si>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</si>
  <si>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</si>
  <si>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</si>
  <si>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</si>
  <si>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</si>
  <si>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</si>
  <si>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</si>
  <si>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</si>
  <si>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</si>
  <si>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</si>
  <si>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</si>
  <si>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</si>
  <si>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</si>
  <si>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</si>
  <si>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</si>
  <si>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</si>
  <si>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</si>
  <si>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</si>
  <si>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</si>
  <si>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</si>
  <si>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</si>
  <si>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</si>
  <si>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</si>
  <si>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</si>
  <si>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</si>
  <si>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</si>
  <si>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</si>
  <si>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</si>
  <si>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</si>
  <si>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</si>
  <si>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</si>
  <si>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</si>
  <si>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</si>
  <si>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</si>
  <si>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</si>
  <si>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</si>
  <si>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</si>
  <si>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</si>
  <si>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</si>
  <si>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</si>
  <si>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</si>
  <si>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</si>
  <si>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</si>
  <si>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</si>
  <si>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Hervé </t>
  </si>
  <si>
    <t xml:space="preserve">3 Rue Paul  92700 Colombes </t>
  </si>
  <si>
    <t>1.63.11.59.52.55.</t>
  </si>
  <si>
    <t xml:space="preserve">En présence d'heures supplémentaires non défiscalisées  l'ordre dans lequel l'abattement est calculé est le suivant </t>
  </si>
  <si>
    <t xml:space="preserve">Salaire brut hors heures supplémentaires </t>
  </si>
  <si>
    <t xml:space="preserve">Heures non défiscalisées </t>
  </si>
  <si>
    <t xml:space="preserve">Heures défiscalisées </t>
  </si>
  <si>
    <t xml:space="preserve">HS défiscalisées </t>
  </si>
  <si>
    <t xml:space="preserve">HS Non défiscalisées </t>
  </si>
  <si>
    <t xml:space="preserve">Mutuelle </t>
  </si>
  <si>
    <t xml:space="preserve">Heures Suppl et Compl. Défiscalisées </t>
  </si>
  <si>
    <t>Heures Suppl Non défiscalisées</t>
  </si>
  <si>
    <t>Salaire brut * 0,9825</t>
  </si>
  <si>
    <t xml:space="preserve">Base CSG déductible hors Heures Suppl. </t>
  </si>
  <si>
    <t>Base CSG CRDS  hors HS</t>
  </si>
  <si>
    <t xml:space="preserve">Base CSG déductible sur HS Non  défisc. </t>
  </si>
  <si>
    <t>Base CSG non déductible sur HS</t>
  </si>
  <si>
    <t xml:space="preserve">Base CSG CRDS Non déductible sur HS </t>
  </si>
  <si>
    <t xml:space="preserve">CSG CRDS 2,9 % non déductible </t>
  </si>
  <si>
    <t xml:space="preserve">Défiscalisées </t>
  </si>
  <si>
    <t>CSG Non déductible 6,8 %</t>
  </si>
  <si>
    <t xml:space="preserve">Heures supplémentaires </t>
  </si>
  <si>
    <t xml:space="preserve">Fiscalisées </t>
  </si>
  <si>
    <t xml:space="preserve">CSG Déductible 6,8% </t>
  </si>
  <si>
    <t xml:space="preserve">CSG CRDS 2,9% non déductible </t>
  </si>
  <si>
    <t xml:space="preserve">Salaire brut  hors heures supplémentaires </t>
  </si>
  <si>
    <t xml:space="preserve">Les cellules  en jaune sont les cellules  qui peuvent éventuellement  être modifiées ( dans ce cas elles ne sont plus relièées aux autres données de cette feuille) </t>
  </si>
  <si>
    <t xml:space="preserve">La routine ci-dessous effectue le calcul sur les cellules F136, F137 et F138. </t>
  </si>
  <si>
    <t xml:space="preserve">Base de calcul de la CSG CRDS (toutes hypothèses confondues) </t>
  </si>
  <si>
    <t xml:space="preserve">Cf la feuille PRECISION </t>
  </si>
  <si>
    <t xml:space="preserve">* l'autre applicable dés Juillet 2023 de façon optionnelle qui avec une légère modification ( suppression de la rubrique de bas de bulletin </t>
  </si>
  <si>
    <t>allègement de cotisations) est conforme aux obligations de présentation applicables en 2026</t>
  </si>
  <si>
    <t xml:space="preserve">J'ai néanmoins conservé ces 2 formats  pour  plusieurs raisons </t>
  </si>
  <si>
    <t>* sur le fond ces 2 forrmats sont quasi identiques . La principale différence résidant dans l' apparition avec le format de Juillet 2023 de cotisations</t>
  </si>
  <si>
    <t xml:space="preserve">les cotisations. Le fait de vous confronter à 2 systèmes de présentation du bulletin de paie outre sa fonction d'auto-contrôle ( si importante en paie )  oeuvrera </t>
  </si>
  <si>
    <t xml:space="preserve">dans ce sens </t>
  </si>
  <si>
    <t>Redoublez dans ce cas de vigilance sur les contrôles que vous effectuerez sur votre bulletin de paie au format conforme en 2026.</t>
  </si>
  <si>
    <t xml:space="preserve">Les erreurs et les sources d'erreurs sont nombreuses. Vigilance et concentration s'imposent donc. </t>
  </si>
  <si>
    <t>Bon travail !!!</t>
  </si>
  <si>
    <t>Table des Taux 2026</t>
  </si>
  <si>
    <t xml:space="preserve">RGDU </t>
  </si>
  <si>
    <t xml:space="preserve">Reliée aux 2  BP </t>
  </si>
  <si>
    <t xml:space="preserve">Ces matrices figurent par ailleurs sur le site de faciliter  l'utilisation de la maquette </t>
  </si>
  <si>
    <t xml:space="preserve">A jour à la nouvelle règle applicable aux entreprises d'au moins 250 salariés  en 2026 </t>
  </si>
  <si>
    <t>Plafond de la sécurité sociale 2026</t>
  </si>
  <si>
    <t>SMICH 31/12/2025</t>
  </si>
  <si>
    <t>SMICH au 01/01/2026</t>
  </si>
  <si>
    <t>SMIC Mensuel  au 01/01/2026</t>
  </si>
  <si>
    <t xml:space="preserve">alternative </t>
  </si>
  <si>
    <t>3*SMICH*35*52/12 au 01/01/2026</t>
  </si>
  <si>
    <t>Coefficients Red Gen Dégressive Unique applicable au   01/01/2026 (Entreprises de moins de 50 sal / Entreprises de 50 ou + de 50 sal.)</t>
  </si>
  <si>
    <t xml:space="preserve">1,5 euro / Heure suppl </t>
  </si>
  <si>
    <t xml:space="preserve">DFHS entreprises d'au moins 20  salariés </t>
  </si>
  <si>
    <t>0,5 euro / Heure Suppl</t>
  </si>
  <si>
    <t xml:space="preserve">Tickets restaurant Exonération maximale de la Part Patronale </t>
  </si>
  <si>
    <t>Abattement CDD Court 2026</t>
  </si>
  <si>
    <t xml:space="preserve">Sécurité sociale Maladie Maternité Invalidité Décés </t>
  </si>
  <si>
    <t xml:space="preserve">Les cellules en jaune peuvent être modifiées (variables) </t>
  </si>
  <si>
    <t xml:space="preserve">Paramètres 2026  et Variables </t>
  </si>
  <si>
    <t>SMICH</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</si>
  <si>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</si>
  <si>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</si>
  <si>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</si>
  <si>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</si>
  <si>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</si>
  <si>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</si>
  <si>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</si>
  <si>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</si>
  <si>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</si>
  <si>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</si>
  <si>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</si>
  <si>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</si>
  <si>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G Puissance 1,75</t>
  </si>
  <si>
    <t>H*B</t>
  </si>
  <si>
    <t>J = I + A</t>
  </si>
  <si>
    <t xml:space="preserve">Coefficient </t>
  </si>
  <si>
    <t>K</t>
  </si>
  <si>
    <t>Réduction</t>
  </si>
  <si>
    <t xml:space="preserve">Le montant de la réduction est arrondi avec 2 chiffres après la virgule </t>
  </si>
  <si>
    <t>la limite de 3 SMIC</t>
  </si>
  <si>
    <t xml:space="preserve">Le livre Excel pour la Paie 2025 (Exercices corrigés sur la paie) vous donne des explications détaillées sur la façon de construire les différents tableaux de suivi et de construire </t>
  </si>
  <si>
    <t xml:space="preserve">21. Lorsqu'un salarié est en CDD court il a le droit à un abattement de 748  euros sur la base du PAS (chiffre 2026) </t>
  </si>
  <si>
    <t>Responsable  Paie</t>
  </si>
  <si>
    <t xml:space="preserve">Cellule F76  AN Nourriture </t>
  </si>
  <si>
    <t xml:space="preserve">Lorsque vous travaillez sur 1 mois isolé le corrigé des bulletins de paie utilise 2 formats </t>
  </si>
  <si>
    <t xml:space="preserve">* l'un qui était applicable en Janvier 2023  qui est désormais  non conforme </t>
  </si>
  <si>
    <t>obligatoires et de cotisations facultatives ce qui  essentiellement a entraîné un reclassement de certaines cotisations du Format Janvier 2023</t>
  </si>
  <si>
    <t xml:space="preserve">* dans un but pédagogique : ne perdez pas de vue que tous les exercices que vous allez effectuer ont pour but  de vous familiariser avec </t>
  </si>
  <si>
    <t xml:space="preserve">* la fonction d'auto-contrôle évoquée ci-dessus :  vous découvrirez très vite que  les sources d'erreur sur un bulletin de paie  sont nombreuses et donc veillez soigneusement </t>
  </si>
  <si>
    <t>à contrôler vos rubriques de cotisations les plus courantes, vos bases de calcul des cotisations, les taux applicables…</t>
  </si>
  <si>
    <t xml:space="preserve">Les 2 formats permettent de recouper les différents paramètres, les différentes rubriques et de s'assurer que rien n'a été oublié et se trouve en concordance </t>
  </si>
  <si>
    <t xml:space="preserve">Le recoupement entre les 2 formats (effectué dans la feuille contrôle) vous obligera à effectuer un travail de concordance et dans le processus vous vous familiariserez </t>
  </si>
  <si>
    <t xml:space="preserve">automatiquement avec les cotisations et leurs bases de calcul (T1, T2,TB…CSG CRDS) et les principales formules de calcul des rubriques de bas de BP  </t>
  </si>
  <si>
    <t xml:space="preserve">( net à payer, net imposable…) </t>
  </si>
  <si>
    <t xml:space="preserve">Bien entendu vous pouvez vous passer d'utiliser le bulletin de paie au format de Janvier 2023 </t>
  </si>
  <si>
    <t xml:space="preserve">1 code pour les Non Cadres  - 2 Code  pour les Cadres </t>
  </si>
  <si>
    <t xml:space="preserve"> NC pour Non Cadre - C pour Cadre </t>
  </si>
  <si>
    <t xml:space="preserve">Reports cellules I9/J9 </t>
  </si>
  <si>
    <t xml:space="preserve">Hors heures supplémentaires </t>
  </si>
  <si>
    <t>Logement gratuit</t>
  </si>
  <si>
    <t xml:space="preserve">Les autres éléments nécessaires à l'établissement du bulletin de paie sont préremplies dans le masque de saisie. Vous veillerez à bien compléter la feuille de contrôle </t>
  </si>
  <si>
    <t xml:space="preserve">C'est sur la base de cette rémunération que l'on va évaluer l'avantage en nature </t>
  </si>
  <si>
    <t xml:space="preserve">par pièce principale </t>
  </si>
  <si>
    <t xml:space="preserve">Ci-contre montant s'il s'était agit d'un 2 pièces ( 1 pièce principale) -   selon le barème </t>
  </si>
  <si>
    <t xml:space="preserve">Le PMSS est égal à </t>
  </si>
  <si>
    <t>Heures URSSAF</t>
  </si>
  <si>
    <t xml:space="preserve">A noter </t>
  </si>
  <si>
    <t xml:space="preserve">Reconstituez le calcul manuellement dans la feuille contrôle par exemple ainsi que les différentes rubriques de celle-ci  </t>
  </si>
  <si>
    <t xml:space="preserve">MNS </t>
  </si>
  <si>
    <t xml:space="preserve">Le montant net social comprend l'AN </t>
  </si>
  <si>
    <t>Salarié non cadre , diposant d'un logemen comportant  2 pièces  principales mis à sa disposition gratuitement par son employeur. Au cours du mois d'Octobre 2026, ce salarié s'est absenté pour raisons personnelles  du 12 au 18, avec l'accord de son employeur. Son salaire de base est de 3000 euros par mois pour 151,67 h</t>
  </si>
  <si>
    <t>Absence du 12 au 18/10</t>
  </si>
  <si>
    <t>5 jours ouvrés sur 22 jours ouvrés en Octobre en  2026</t>
  </si>
  <si>
    <t>Cf barème dans la feuille ENONCE 2026</t>
  </si>
  <si>
    <t xml:space="preserve">2 pièces principales </t>
  </si>
  <si>
    <t xml:space="preserve">4005 * (31-7) /31  </t>
  </si>
  <si>
    <t xml:space="preserve">Comme dans le mois compte tenu des absences du  salarié  il y a 1 semaines incomplète , on va proratiser la valeur trouvée ci-dessus par le nombre de semaines complètes de  présence </t>
  </si>
  <si>
    <t xml:space="preserve">Extrait du BOSS </t>
  </si>
  <si>
    <t xml:space="preserve">utilisé pour le calcul de la RGDU </t>
  </si>
  <si>
    <t xml:space="preserve">Avantages en nature Logement </t>
  </si>
  <si>
    <t>Salarié non cadre , diposant d'un logement comportant  2 pièces  principales mis à sa disposition gratuitement par son employeur. Au cours du mois d'Octobre 2026, ce salarié s'est absenté pour raisons personnelles  du 12 au 18, avec l'accord de son employeur. Son salaire de base est de 3000 euros par mois pour 151,67 h. Il effectue au cours du mois 10 heures suppélementaires à + 25%</t>
  </si>
  <si>
    <t>159,40  * 3/4</t>
  </si>
  <si>
    <t>Absence pour convenances personnelles  du 12/10  au 18/10</t>
  </si>
  <si>
    <t xml:space="preserve">AN Logement </t>
  </si>
  <si>
    <t xml:space="preserve">Avantage en nature Logement </t>
  </si>
  <si>
    <t xml:space="preserve">La formule du Net à payer est  à vérifier compte tenu que nous avons placé l'avantage en nature Ligne 76 et Ligne 81 selon le format de bulletin de paie adopté. </t>
  </si>
  <si>
    <t>Heures Suppl</t>
  </si>
  <si>
    <t xml:space="preserve">Cf feuille correction </t>
  </si>
  <si>
    <t>151,67 * 2437,73/3199 +10</t>
  </si>
  <si>
    <t>Pour un salaire de 3000</t>
  </si>
  <si>
    <t>partir du BP de Janvier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</si>
</sst>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 _€_-;\-* #,##0.000\ _€_-;_-* &quot;-&quot;???\ _€_-;_-@_-"/>
    <numFmt numFmtId="185" formatCode="_-* #,##0.000_-;\-* #,##0.000_-;_-* &quot;-&quot;??_-;_-@_-"/>
    <numFmt numFmtId="186" formatCode="_-* #,##0.00000_-;\-* #,##0.00000_-;_-* &quot;-&quot;??_-;_-@_-"/>
  </numFmts>
  <fonts count="105"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sz val="14"/>
      <color theme="1"/>
      <name val="Times New Roman"/>
      <family val="1"/>
    </font>
    <font>
      <sz val="14"/>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sz val="9"/>
      <color indexed="81"/>
      <name val="Tahoma"/>
      <charset val="1"/>
    </font>
    <font>
      <b/>
      <sz val="9"/>
      <color indexed="81"/>
      <name val="Tahoma"/>
      <charset val="1"/>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
      <patternFill patternType="solid">
        <fgColor theme="4"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6">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xf numFmtId="43" fontId="17" fillId="0" borderId="0" applyFont="0" applyFill="0" applyBorder="0" applyAlignment="0" applyProtection="0"/>
  </cellStyleXfs>
  <cellXfs count="1091">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4" fontId="63" fillId="0" borderId="1" xfId="2" applyNumberFormat="1" applyFont="1"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43" fontId="72" fillId="0" borderId="1" xfId="1" applyFont="1" applyBorder="1" applyAlignment="1">
      <alignment horizontal="center" vertical="center"/>
    </xf>
    <xf numFmtId="43" fontId="71" fillId="0" borderId="1" xfId="1" applyFont="1" applyBorder="1" applyAlignment="1">
      <alignment horizontal="center" vertical="center"/>
    </xf>
    <xf numFmtId="0" fontId="69" fillId="0" borderId="0" xfId="0" applyFont="1"/>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75"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0" fontId="77" fillId="0" borderId="0" xfId="0" applyFont="1"/>
    <xf numFmtId="0" fontId="78" fillId="0" borderId="0" xfId="0" applyFont="1"/>
    <xf numFmtId="4" fontId="77" fillId="0" borderId="0" xfId="0" applyNumberFormat="1" applyFont="1"/>
    <xf numFmtId="0" fontId="47" fillId="0" borderId="0" xfId="0" applyFont="1"/>
    <xf numFmtId="0" fontId="79" fillId="0" borderId="0" xfId="0" applyFont="1"/>
    <xf numFmtId="0" fontId="0" fillId="0" borderId="0" xfId="0" applyAlignment="1">
      <alignment horizontal="left"/>
    </xf>
    <xf numFmtId="0" fontId="25" fillId="0" borderId="0" xfId="0" applyFont="1" applyAlignment="1">
      <alignment horizontal="left"/>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80"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2" fontId="0" fillId="0" borderId="0" xfId="0" applyNumberFormat="1"/>
    <xf numFmtId="0" fontId="73" fillId="11"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85"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86" fillId="9" borderId="4" xfId="1" applyNumberFormat="1" applyFont="1" applyFill="1" applyBorder="1" applyAlignment="1">
      <alignment horizontal="center" vertical="center" wrapText="1"/>
    </xf>
    <xf numFmtId="10" fontId="76" fillId="9" borderId="1" xfId="3" applyNumberFormat="1" applyFont="1" applyFill="1" applyBorder="1" applyAlignment="1">
      <alignment horizontal="center" vertical="center"/>
    </xf>
    <xf numFmtId="0" fontId="73" fillId="10"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86" fillId="9"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88" fillId="10" borderId="0" xfId="0" applyFont="1" applyFill="1"/>
    <xf numFmtId="0" fontId="89" fillId="10"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95" fillId="12"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27" fillId="0" borderId="1" xfId="0" applyFont="1" applyBorder="1"/>
    <xf numFmtId="43" fontId="27" fillId="0" borderId="1" xfId="1" applyFont="1" applyBorder="1" applyAlignment="1">
      <alignment horizontal="left"/>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0" fontId="33" fillId="2" borderId="0" xfId="0" applyFont="1" applyFill="1"/>
    <xf numFmtId="0" fontId="33" fillId="0" borderId="0" xfId="0" quotePrefix="1" applyFont="1"/>
    <xf numFmtId="43" fontId="33" fillId="2" borderId="1" xfId="1" applyFont="1" applyFill="1" applyBorder="1" applyAlignment="1">
      <alignment horizontal="right"/>
    </xf>
    <xf numFmtId="43" fontId="33" fillId="0" borderId="0" xfId="1" quotePrefix="1" applyFont="1" applyBorder="1" applyAlignment="1">
      <alignment horizontal="center"/>
    </xf>
    <xf numFmtId="43" fontId="33" fillId="2" borderId="1" xfId="1" applyFont="1" applyFill="1" applyBorder="1"/>
    <xf numFmtId="184" fontId="33" fillId="0" borderId="0" xfId="0" applyNumberFormat="1" applyFont="1" applyAlignment="1">
      <alignment horizontal="center"/>
    </xf>
    <xf numFmtId="184" fontId="33" fillId="0" borderId="0" xfId="0" applyNumberFormat="1" applyFont="1"/>
    <xf numFmtId="185" fontId="33" fillId="0" borderId="0" xfId="0" applyNumberFormat="1" applyFont="1"/>
    <xf numFmtId="0" fontId="33" fillId="0" borderId="13" xfId="0"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0" fontId="33" fillId="0" borderId="1" xfId="0" applyFont="1" applyBorder="1"/>
    <xf numFmtId="185" fontId="33" fillId="0" borderId="1" xfId="1" applyNumberFormat="1" applyFont="1" applyFill="1" applyBorder="1" applyAlignment="1">
      <alignment horizontal="center"/>
    </xf>
    <xf numFmtId="43" fontId="33" fillId="0" borderId="0" xfId="1" applyFont="1" applyBorder="1"/>
    <xf numFmtId="43" fontId="33" fillId="0" borderId="0" xfId="1" applyFont="1" applyAlignment="1">
      <alignment horizontal="right"/>
    </xf>
    <xf numFmtId="164" fontId="33" fillId="0" borderId="0" xfId="0" applyNumberFormat="1" applyFont="1"/>
    <xf numFmtId="185" fontId="33" fillId="0" borderId="1" xfId="1" applyNumberFormat="1" applyFont="1" applyBorder="1" applyAlignment="1">
      <alignment horizontal="center"/>
    </xf>
    <xf numFmtId="185" fontId="76" fillId="9" borderId="1" xfId="1" quotePrefix="1" applyNumberFormat="1" applyFont="1" applyFill="1" applyBorder="1" applyAlignment="1">
      <alignment horizontal="center"/>
    </xf>
    <xf numFmtId="43" fontId="33" fillId="0" borderId="0" xfId="1" quotePrefix="1" applyFont="1" applyBorder="1"/>
    <xf numFmtId="43" fontId="33" fillId="0" borderId="0" xfId="1" applyFont="1" applyBorder="1" applyAlignment="1">
      <alignment horizontal="center"/>
    </xf>
    <xf numFmtId="10" fontId="33" fillId="0" borderId="1" xfId="0" applyNumberFormat="1" applyFont="1" applyBorder="1"/>
    <xf numFmtId="43" fontId="39" fillId="0" borderId="1" xfId="1" applyFont="1" applyBorder="1"/>
    <xf numFmtId="185" fontId="33" fillId="0" borderId="1" xfId="0" applyNumberFormat="1" applyFont="1" applyBorder="1"/>
    <xf numFmtId="43" fontId="33" fillId="0" borderId="1" xfId="1" quotePrefix="1" applyFont="1" applyBorder="1"/>
    <xf numFmtId="43" fontId="33" fillId="0" borderId="0" xfId="0" applyNumberFormat="1" applyFont="1"/>
    <xf numFmtId="43" fontId="33" fillId="0" borderId="1" xfId="0" applyNumberFormat="1" applyFont="1" applyBorder="1"/>
    <xf numFmtId="43" fontId="76" fillId="9" borderId="1" xfId="1" quotePrefix="1" applyFont="1" applyFill="1" applyBorder="1"/>
    <xf numFmtId="0" fontId="73" fillId="0" borderId="0" xfId="0" quotePrefix="1" applyFont="1"/>
    <xf numFmtId="0" fontId="73" fillId="0" borderId="0" xfId="0" applyFont="1"/>
    <xf numFmtId="0" fontId="73" fillId="0" borderId="0" xfId="0" applyFont="1" applyAlignment="1">
      <alignment horizontal="center"/>
    </xf>
    <xf numFmtId="0" fontId="101" fillId="0" borderId="0" xfId="0" quotePrefix="1" applyFont="1"/>
    <xf numFmtId="0" fontId="81" fillId="0" borderId="0" xfId="0" applyFont="1"/>
    <xf numFmtId="0" fontId="81" fillId="0" borderId="0" xfId="0" applyFont="1" applyAlignment="1">
      <alignment horizontal="center"/>
    </xf>
    <xf numFmtId="0" fontId="71" fillId="0" borderId="0" xfId="0" applyFont="1"/>
    <xf numFmtId="171" fontId="92" fillId="12" borderId="9" xfId="1" applyNumberFormat="1" applyFont="1" applyFill="1" applyBorder="1" applyAlignment="1">
      <alignment horizontal="right" vertical="center" wrapText="1"/>
    </xf>
    <xf numFmtId="171" fontId="92" fillId="12" borderId="1" xfId="1" applyNumberFormat="1" applyFont="1" applyFill="1" applyBorder="1" applyAlignment="1">
      <alignment horizontal="right" vertical="center" wrapText="1"/>
    </xf>
    <xf numFmtId="2" fontId="38" fillId="0" borderId="1" xfId="0" applyNumberFormat="1" applyFont="1" applyBorder="1" applyAlignment="1">
      <alignment horizontal="right" vertical="center" wrapText="1"/>
    </xf>
    <xf numFmtId="43" fontId="38" fillId="0" borderId="0" xfId="1" applyFont="1" applyBorder="1" applyAlignment="1">
      <alignment horizontal="center"/>
    </xf>
    <xf numFmtId="43" fontId="92" fillId="12" borderId="1" xfId="1" applyFont="1" applyFill="1" applyBorder="1" applyAlignment="1">
      <alignment horizontal="right" vertical="center"/>
    </xf>
    <xf numFmtId="10" fontId="95" fillId="12" borderId="9" xfId="3" applyNumberFormat="1" applyFont="1" applyFill="1" applyBorder="1" applyAlignment="1">
      <alignment horizontal="center" vertical="center"/>
    </xf>
    <xf numFmtId="10" fontId="95" fillId="12" borderId="1" xfId="3" applyNumberFormat="1" applyFont="1" applyFill="1" applyBorder="1" applyAlignment="1">
      <alignment horizontal="center" vertical="center"/>
    </xf>
    <xf numFmtId="0" fontId="33" fillId="2" borderId="1" xfId="0" applyFont="1" applyFill="1" applyBorder="1" applyAlignment="1">
      <alignment horizontal="center" vertical="center" wrapText="1"/>
    </xf>
    <xf numFmtId="43" fontId="33" fillId="0" borderId="1" xfId="0" applyNumberFormat="1" applyFont="1" applyBorder="1" applyAlignment="1">
      <alignment horizontal="center" vertical="center" wrapText="1"/>
    </xf>
    <xf numFmtId="2" fontId="33" fillId="2" borderId="1" xfId="0" applyNumberFormat="1" applyFont="1" applyFill="1" applyBorder="1" applyAlignment="1">
      <alignment horizontal="center" vertical="center" wrapText="1"/>
    </xf>
    <xf numFmtId="4" fontId="33" fillId="2" borderId="1" xfId="0" applyNumberFormat="1" applyFont="1" applyFill="1" applyBorder="1" applyAlignment="1">
      <alignment horizontal="center" vertical="center" wrapText="1"/>
    </xf>
    <xf numFmtId="9" fontId="33" fillId="0" borderId="1" xfId="0" applyNumberFormat="1" applyFont="1" applyBorder="1" applyAlignment="1">
      <alignment horizontal="center" vertical="center" wrapText="1"/>
    </xf>
    <xf numFmtId="186" fontId="33" fillId="0" borderId="1" xfId="1" applyNumberFormat="1" applyFont="1" applyBorder="1" applyAlignment="1">
      <alignment horizontal="center" vertical="center" wrapText="1"/>
    </xf>
    <xf numFmtId="9" fontId="27" fillId="2" borderId="1" xfId="0" applyNumberFormat="1" applyFont="1" applyFill="1" applyBorder="1" applyAlignment="1">
      <alignment horizontal="center" vertical="center"/>
    </xf>
    <xf numFmtId="176" fontId="25" fillId="0" borderId="0" xfId="0" applyNumberFormat="1" applyFont="1"/>
    <xf numFmtId="0" fontId="33" fillId="0" borderId="0" xfId="0" applyFont="1" applyAlignment="1">
      <alignment vertical="center"/>
    </xf>
    <xf numFmtId="0" fontId="33" fillId="0" borderId="0" xfId="0" applyFont="1" applyAlignment="1">
      <alignment horizontal="left" vertical="center" wrapText="1"/>
    </xf>
    <xf numFmtId="43" fontId="33" fillId="0" borderId="1" xfId="5" applyFont="1" applyBorder="1" applyAlignment="1">
      <alignment horizontal="left" vertical="center" wrapText="1"/>
    </xf>
    <xf numFmtId="0" fontId="33" fillId="2" borderId="1" xfId="0" applyFont="1" applyFill="1" applyBorder="1"/>
    <xf numFmtId="43" fontId="33" fillId="2" borderId="1" xfId="0" applyNumberFormat="1" applyFont="1" applyFill="1" applyBorder="1" applyAlignment="1">
      <alignment horizontal="left" vertical="center" wrapText="1"/>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74" fillId="2" borderId="3" xfId="0" applyFont="1" applyFill="1" applyBorder="1" applyAlignment="1">
      <alignment horizontal="center" vertical="center" wrapText="1"/>
    </xf>
    <xf numFmtId="0" fontId="74" fillId="2" borderId="5" xfId="0" applyFont="1" applyFill="1" applyBorder="1" applyAlignment="1">
      <alignment horizontal="center" vertical="center" wrapText="1"/>
    </xf>
    <xf numFmtId="0" fontId="74" fillId="2" borderId="11" xfId="0" applyFont="1" applyFill="1" applyBorder="1" applyAlignment="1">
      <alignment horizontal="center" vertical="center" wrapText="1"/>
    </xf>
    <xf numFmtId="0" fontId="74" fillId="2" borderId="12" xfId="0" applyFont="1" applyFill="1" applyBorder="1" applyAlignment="1">
      <alignment horizontal="center" vertical="center" wrapText="1"/>
    </xf>
    <xf numFmtId="0" fontId="74" fillId="2" borderId="6" xfId="0" applyFont="1" applyFill="1" applyBorder="1" applyAlignment="1">
      <alignment horizontal="center" vertical="center" wrapText="1"/>
    </xf>
    <xf numFmtId="0" fontId="74"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95" fillId="12" borderId="1" xfId="0" applyFont="1" applyFill="1" applyBorder="1" applyAlignment="1">
      <alignment horizontal="center" vertical="center" wrapText="1"/>
    </xf>
    <xf numFmtId="0" fontId="33" fillId="2" borderId="1" xfId="0" applyFont="1" applyFill="1" applyBorder="1" applyAlignment="1">
      <alignment horizontal="left" vertical="center" wrapText="1"/>
    </xf>
    <xf numFmtId="0" fontId="33" fillId="14" borderId="1" xfId="0" applyFont="1" applyFill="1" applyBorder="1" applyAlignment="1">
      <alignment horizontal="left" vertical="center" wrapText="1"/>
    </xf>
    <xf numFmtId="0" fontId="33" fillId="0" borderId="0" xfId="0" applyFont="1" applyAlignment="1">
      <alignment horizontal="center" vertical="center" wrapText="1"/>
    </xf>
    <xf numFmtId="0" fontId="33" fillId="0" borderId="11" xfId="0" applyFont="1" applyBorder="1" applyAlignment="1">
      <alignment horizontal="center" vertical="center" wrapText="1"/>
    </xf>
    <xf numFmtId="0" fontId="33" fillId="2" borderId="0" xfId="0" applyFont="1" applyFill="1" applyAlignment="1">
      <alignment horizontal="center" vertical="center" wrapText="1"/>
    </xf>
    <xf numFmtId="0" fontId="33" fillId="0" borderId="1" xfId="0" applyFont="1" applyBorder="1" applyAlignment="1">
      <alignment horizontal="center" vertical="center" wrapText="1"/>
    </xf>
    <xf numFmtId="0" fontId="33" fillId="0" borderId="0" xfId="0" applyFont="1" applyAlignment="1">
      <alignment horizontal="left" vertical="center" wrapText="1"/>
    </xf>
    <xf numFmtId="0" fontId="32" fillId="0" borderId="0" xfId="0" applyFont="1" applyAlignment="1">
      <alignment horizontal="center" vertical="center" wrapText="1"/>
    </xf>
    <xf numFmtId="0" fontId="32" fillId="0" borderId="12" xfId="0" applyFont="1" applyBorder="1" applyAlignment="1">
      <alignment horizontal="center" vertical="center" wrapText="1"/>
    </xf>
    <xf numFmtId="0" fontId="33" fillId="2" borderId="1" xfId="0" applyFont="1" applyFill="1" applyBorder="1" applyAlignment="1">
      <alignment horizontal="center" vertical="center" wrapText="1"/>
    </xf>
    <xf numFmtId="43" fontId="38" fillId="0" borderId="15" xfId="1" applyFont="1" applyBorder="1" applyAlignment="1">
      <alignment horizontal="center" vertical="center" wrapText="1"/>
    </xf>
    <xf numFmtId="43" fontId="38" fillId="0" borderId="9" xfId="1" applyFont="1" applyBorder="1" applyAlignment="1">
      <alignment horizontal="center" vertical="center" wrapText="1"/>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81" fillId="8" borderId="10" xfId="0" applyFont="1" applyFill="1" applyBorder="1" applyAlignment="1">
      <alignment horizontal="center" vertical="center" wrapText="1"/>
    </xf>
    <xf numFmtId="0" fontId="81" fillId="8" borderId="15" xfId="0" applyFont="1" applyFill="1" applyBorder="1" applyAlignment="1">
      <alignment horizontal="center" vertical="center" wrapText="1"/>
    </xf>
    <xf numFmtId="0" fontId="81" fillId="8" borderId="9" xfId="0" applyFont="1" applyFill="1" applyBorder="1" applyAlignment="1">
      <alignment horizontal="center" vertical="center" wrapText="1"/>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 fillId="0" borderId="9" xfId="0" applyFont="1" applyBorder="1" applyAlignment="1">
      <alignment vertical="center" wrapText="1"/>
    </xf>
    <xf numFmtId="0" fontId="5" fillId="0" borderId="1" xfId="0" applyFont="1" applyBorder="1" applyAlignment="1">
      <alignment vertical="center" wrapText="1"/>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2" fillId="0" borderId="10" xfId="0" applyFont="1" applyBorder="1" applyAlignment="1">
      <alignment vertical="center" wrapText="1"/>
    </xf>
    <xf numFmtId="0" fontId="2" fillId="0" borderId="9" xfId="0" applyFont="1" applyBorder="1" applyAlignment="1">
      <alignment vertical="center" wrapTex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2" fillId="0" borderId="15" xfId="0" applyFont="1" applyBorder="1" applyAlignment="1">
      <alignment horizontal="left" vertical="center" wrapText="1"/>
    </xf>
    <xf numFmtId="0" fontId="2" fillId="0" borderId="9"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16" fillId="0" borderId="10" xfId="0" applyFont="1" applyBorder="1" applyAlignment="1">
      <alignment vertical="center" wrapText="1"/>
    </xf>
    <xf numFmtId="0" fontId="16" fillId="0" borderId="9"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95" fillId="12" borderId="10" xfId="0" applyFont="1" applyFill="1" applyBorder="1" applyAlignment="1">
      <alignment vertical="center" wrapText="1"/>
    </xf>
    <xf numFmtId="0" fontId="95" fillId="12" borderId="9" xfId="0" applyFont="1" applyFill="1" applyBorder="1" applyAlignment="1">
      <alignment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50" fillId="0" borderId="0" xfId="0" applyFont="1" applyAlignment="1">
      <alignment horizontal="center" vertical="center" wrapText="1"/>
    </xf>
    <xf numFmtId="0" fontId="2" fillId="0" borderId="10" xfId="0" applyFont="1" applyBorder="1" applyAlignment="1">
      <alignment horizontal="left" vertical="center" wrapText="1"/>
    </xf>
    <xf numFmtId="0" fontId="84" fillId="0" borderId="10" xfId="0" applyFont="1" applyBorder="1" applyAlignment="1">
      <alignment horizontal="center" vertical="center"/>
    </xf>
    <xf numFmtId="0" fontId="84" fillId="0" borderId="9" xfId="0" applyFont="1" applyBorder="1" applyAlignment="1">
      <alignment horizontal="center" vertical="center"/>
    </xf>
    <xf numFmtId="0" fontId="84" fillId="0" borderId="10" xfId="0" applyFont="1" applyBorder="1" applyAlignment="1">
      <alignment horizontal="left" vertical="center"/>
    </xf>
    <xf numFmtId="0" fontId="84" fillId="0" borderId="9" xfId="0" applyFont="1" applyBorder="1" applyAlignment="1">
      <alignment horizontal="left" vertical="center"/>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5" fillId="0" borderId="15"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38" fillId="2" borderId="10" xfId="0" applyFont="1" applyFill="1" applyBorder="1" applyAlignment="1">
      <alignment horizontal="center"/>
    </xf>
    <xf numFmtId="0" fontId="38" fillId="2" borderId="9" xfId="0" applyFont="1" applyFill="1" applyBorder="1" applyAlignment="1">
      <alignment horizontal="center"/>
    </xf>
    <xf numFmtId="0" fontId="27" fillId="0" borderId="0" xfId="0" applyFont="1" applyAlignment="1">
      <alignment horizontal="center" vertical="center"/>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27" fillId="7" borderId="1" xfId="0" applyFont="1" applyFill="1" applyBorder="1" applyAlignment="1">
      <alignment horizontal="center"/>
    </xf>
    <xf numFmtId="0" fontId="2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0" fontId="66" fillId="0" borderId="0" xfId="0" applyFont="1" applyAlignment="1">
      <alignment horizontal="center" vertical="center" wrapText="1"/>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97" fillId="12" borderId="25" xfId="2" applyFont="1" applyFill="1" applyBorder="1" applyAlignment="1">
      <alignment horizontal="center" vertical="center" wrapText="1"/>
    </xf>
    <xf numFmtId="0" fontId="97" fillId="12"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0" xfId="2" applyFont="1" applyBorder="1" applyAlignment="1">
      <alignment horizontal="right" vertical="center" wrapText="1"/>
    </xf>
    <xf numFmtId="0" fontId="15" fillId="0" borderId="15" xfId="2" applyFont="1" applyBorder="1" applyAlignment="1">
      <alignment horizontal="right" vertical="center" wrapText="1"/>
    </xf>
    <xf numFmtId="0" fontId="15" fillId="0" borderId="9" xfId="2" applyFont="1" applyBorder="1" applyAlignment="1">
      <alignment horizontal="right" vertical="center" wrapText="1"/>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3" fillId="0" borderId="0" xfId="0" applyFont="1" applyAlignment="1">
      <alignment horizontal="center"/>
    </xf>
    <xf numFmtId="0" fontId="20" fillId="0" borderId="0" xfId="0" applyFont="1" applyAlignment="1">
      <alignment horizontal="left"/>
    </xf>
    <xf numFmtId="0" fontId="7" fillId="5" borderId="1" xfId="0" applyFont="1" applyFill="1" applyBorder="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87" fillId="12" borderId="0" xfId="0" applyFont="1" applyFill="1" applyAlignment="1">
      <alignment horizont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1" xfId="0" applyFont="1" applyBorder="1" applyAlignment="1">
      <alignment horizontal="right" vertical="center" wrapText="1"/>
    </xf>
    <xf numFmtId="0" fontId="2" fillId="0" borderId="1"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0" fontId="41" fillId="0" borderId="1" xfId="0" applyFont="1" applyBorder="1" applyAlignment="1">
      <alignment horizontal="right"/>
    </xf>
    <xf numFmtId="4" fontId="40" fillId="0" borderId="1" xfId="0" applyNumberFormat="1" applyFont="1" applyBorder="1" applyAlignment="1">
      <alignment horizontal="center"/>
    </xf>
    <xf numFmtId="0" fontId="40" fillId="0" borderId="1" xfId="0" applyFont="1" applyBorder="1" applyAlignment="1">
      <alignment horizont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25" fillId="0" borderId="0" xfId="0" applyFont="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0" fontId="6" fillId="0" borderId="0" xfId="0" applyFont="1" applyAlignment="1">
      <alignment horizontal="left" vertical="center"/>
    </xf>
    <xf numFmtId="0" fontId="2" fillId="0" borderId="15" xfId="0" applyFont="1" applyBorder="1" applyAlignment="1">
      <alignment vertical="center" wrapText="1"/>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83" fillId="9" borderId="8" xfId="0" applyFont="1" applyFill="1" applyBorder="1" applyAlignment="1">
      <alignment horizontal="center" vertical="center" wrapText="1"/>
    </xf>
    <xf numFmtId="0" fontId="83" fillId="9"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83" fillId="9" borderId="8" xfId="3" applyFont="1" applyFill="1" applyBorder="1" applyAlignment="1">
      <alignment horizontal="center" vertical="center" wrapText="1"/>
    </xf>
    <xf numFmtId="9" fontId="83" fillId="9" borderId="13" xfId="3"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87" fillId="12" borderId="0" xfId="0" applyFont="1" applyFill="1" applyAlignment="1">
      <alignment horizontal="center" vertical="center" wrapText="1"/>
    </xf>
    <xf numFmtId="0" fontId="15" fillId="0" borderId="17" xfId="2" applyFont="1" applyBorder="1" applyAlignment="1">
      <alignment horizontal="center"/>
    </xf>
    <xf numFmtId="0" fontId="32" fillId="0" borderId="1" xfId="0" applyFont="1" applyBorder="1" applyAlignment="1">
      <alignment horizontal="center"/>
    </xf>
    <xf numFmtId="0" fontId="91" fillId="8" borderId="1" xfId="0" applyFont="1" applyFill="1" applyBorder="1" applyAlignment="1">
      <alignment horizontal="center" vertical="center" wrapText="1"/>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32" fillId="0" borderId="1" xfId="0" quotePrefix="1" applyFont="1" applyBorder="1" applyAlignment="1">
      <alignment horizontal="center"/>
    </xf>
    <xf numFmtId="0" fontId="32" fillId="0" borderId="1" xfId="0" applyFont="1" applyBorder="1" applyAlignment="1">
      <alignment horizontal="center" vertical="center" wrapText="1"/>
    </xf>
    <xf numFmtId="0" fontId="91" fillId="8" borderId="1" xfId="0" applyFont="1" applyFill="1" applyBorder="1" applyAlignment="1">
      <alignment horizontal="center" vertical="center"/>
    </xf>
    <xf numFmtId="0" fontId="30" fillId="0" borderId="0" xfId="0" applyFont="1" applyAlignment="1">
      <alignment horizontal="center" vertical="center" wrapText="1"/>
    </xf>
    <xf numFmtId="0" fontId="99" fillId="12" borderId="3" xfId="0" applyFont="1" applyFill="1" applyBorder="1" applyAlignment="1">
      <alignment horizontal="center" vertical="center" wrapText="1"/>
    </xf>
    <xf numFmtId="0" fontId="99" fillId="12" borderId="4" xfId="0" applyFont="1" applyFill="1" applyBorder="1" applyAlignment="1">
      <alignment horizontal="center" vertical="center" wrapText="1"/>
    </xf>
    <xf numFmtId="0" fontId="99" fillId="12" borderId="5" xfId="0" applyFont="1" applyFill="1" applyBorder="1" applyAlignment="1">
      <alignment horizontal="center" vertical="center" wrapText="1"/>
    </xf>
    <xf numFmtId="0" fontId="100" fillId="4" borderId="0" xfId="0" applyFont="1" applyFill="1" applyAlignment="1">
      <alignment horizontal="center" vertical="center" wrapText="1"/>
    </xf>
    <xf numFmtId="0" fontId="33" fillId="4" borderId="0" xfId="0" applyFont="1" applyFill="1" applyAlignment="1">
      <alignment horizontal="center" vertical="center"/>
    </xf>
    <xf numFmtId="4" fontId="30"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0" fillId="4" borderId="0" xfId="0" applyFont="1" applyFill="1" applyAlignment="1">
      <alignment horizontal="center" vertical="center" wrapText="1"/>
    </xf>
    <xf numFmtId="0" fontId="96" fillId="0" borderId="0" xfId="0" applyFont="1" applyAlignment="1">
      <alignment horizontal="right" vertical="center" wrapText="1"/>
    </xf>
    <xf numFmtId="0" fontId="41" fillId="4" borderId="0" xfId="0" applyFont="1" applyFill="1" applyAlignment="1">
      <alignment horizontal="center" vertical="center" wrapText="1"/>
    </xf>
    <xf numFmtId="0" fontId="101" fillId="0" borderId="0" xfId="0" applyFont="1" applyAlignment="1">
      <alignment horizontal="center" vertical="center" wrapText="1"/>
    </xf>
    <xf numFmtId="4" fontId="30" fillId="4" borderId="0" xfId="0" applyNumberFormat="1" applyFont="1" applyFill="1" applyAlignment="1">
      <alignment horizontal="center" vertical="center"/>
    </xf>
    <xf numFmtId="4" fontId="101" fillId="0" borderId="0" xfId="0" applyNumberFormat="1" applyFont="1" applyAlignment="1">
      <alignment horizontal="center" vertical="center" wrapText="1"/>
    </xf>
    <xf numFmtId="10" fontId="101" fillId="0" borderId="0" xfId="0" applyNumberFormat="1" applyFont="1" applyAlignment="1">
      <alignment horizontal="center" vertical="center" wrapText="1"/>
    </xf>
    <xf numFmtId="0" fontId="101" fillId="0" borderId="0" xfId="0" applyFont="1" applyAlignment="1">
      <alignment horizontal="right" vertical="center" wrapText="1"/>
    </xf>
    <xf numFmtId="0" fontId="2" fillId="0" borderId="0" xfId="0" applyFont="1" applyAlignment="1">
      <alignment vertical="center" wrapText="1"/>
    </xf>
    <xf numFmtId="0" fontId="39" fillId="0" borderId="0" xfId="0" applyFont="1" applyAlignment="1">
      <alignment horizontal="center" vertical="center" wrapText="1"/>
    </xf>
    <xf numFmtId="0" fontId="63" fillId="4" borderId="0" xfId="0" applyFont="1" applyFill="1" applyAlignment="1">
      <alignment horizontal="center"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0" fontId="61" fillId="4" borderId="0" xfId="0" applyFont="1" applyFill="1" applyAlignment="1">
      <alignment horizontal="center" vertical="center" wrapText="1"/>
    </xf>
    <xf numFmtId="0" fontId="2" fillId="0" borderId="0" xfId="0" applyFont="1" applyAlignment="1">
      <alignment horizontal="left" vertical="center" wrapText="1"/>
    </xf>
    <xf numFmtId="4" fontId="30" fillId="4" borderId="0" xfId="0" quotePrefix="1" applyNumberFormat="1" applyFont="1" applyFill="1" applyAlignment="1">
      <alignment horizontal="center" vertical="center"/>
    </xf>
    <xf numFmtId="0" fontId="2" fillId="0" borderId="0" xfId="0" applyFont="1" applyAlignment="1">
      <alignment horizontal="left" vertical="center"/>
    </xf>
    <xf numFmtId="0" fontId="6" fillId="0" borderId="0" xfId="0" applyFont="1" applyAlignment="1">
      <alignment horizontal="left" vertical="center" wrapText="1"/>
    </xf>
    <xf numFmtId="0" fontId="32" fillId="4" borderId="0" xfId="0" applyFont="1" applyFill="1" applyAlignment="1">
      <alignment horizontal="center"/>
    </xf>
    <xf numFmtId="0" fontId="15" fillId="0" borderId="0" xfId="2" applyFont="1" applyAlignment="1">
      <alignment horizontal="center" vertical="center" wrapText="1"/>
    </xf>
    <xf numFmtId="0" fontId="15" fillId="0" borderId="0" xfId="2" applyFont="1" applyAlignment="1">
      <alignment horizontal="right" vertical="center" wrapText="1"/>
    </xf>
    <xf numFmtId="0" fontId="102" fillId="0" borderId="0" xfId="0" applyFont="1" applyAlignment="1">
      <alignment horizontal="center"/>
    </xf>
    <xf numFmtId="0" fontId="98" fillId="12" borderId="0" xfId="2" applyFont="1" applyFill="1" applyAlignment="1">
      <alignment horizontal="center" vertical="center" wrapText="1"/>
    </xf>
    <xf numFmtId="0" fontId="16" fillId="0" borderId="0" xfId="2" applyFont="1" applyAlignment="1">
      <alignment horizontal="center"/>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73" fillId="12" borderId="0" xfId="0" applyFont="1" applyFill="1" applyAlignment="1">
      <alignment horizontal="center"/>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0" fontId="48" fillId="0" borderId="1" xfId="0" applyFont="1" applyBorder="1" applyAlignment="1">
      <alignment horizontal="center" vertical="center" wrapText="1"/>
    </xf>
    <xf numFmtId="0" fontId="34" fillId="0" borderId="1" xfId="0" applyFont="1" applyBorder="1" applyAlignment="1">
      <alignment horizontal="center" vertical="center" wrapText="1"/>
    </xf>
    <xf numFmtId="43" fontId="44" fillId="0" borderId="1" xfId="1" applyFont="1" applyFill="1" applyBorder="1" applyAlignment="1"/>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86" fillId="10" borderId="1" xfId="1" applyNumberFormat="1" applyFont="1" applyFill="1" applyBorder="1" applyAlignment="1">
      <alignment horizontal="center" vertical="center" wrapText="1"/>
    </xf>
    <xf numFmtId="0" fontId="73" fillId="10" borderId="10" xfId="0" applyFont="1" applyFill="1" applyBorder="1" applyAlignment="1">
      <alignment horizontal="center" vertical="center" wrapText="1"/>
    </xf>
    <xf numFmtId="0" fontId="73" fillId="10" borderId="9" xfId="0" applyFont="1" applyFill="1" applyBorder="1" applyAlignment="1">
      <alignment horizontal="center" vertical="center" wrapText="1"/>
    </xf>
    <xf numFmtId="0" fontId="73" fillId="9" borderId="0" xfId="0" applyFont="1" applyFill="1" applyAlignment="1">
      <alignment horizontal="center" vertical="center" wrapText="1"/>
    </xf>
    <xf numFmtId="0" fontId="81" fillId="9" borderId="7" xfId="0" applyFont="1" applyFill="1" applyBorder="1" applyAlignment="1">
      <alignment horizontal="center" vertical="center"/>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3" fillId="0" borderId="9" xfId="0" applyFont="1" applyBorder="1"/>
    <xf numFmtId="0" fontId="33" fillId="0" borderId="1" xfId="0" applyFont="1" applyBorder="1"/>
    <xf numFmtId="43" fontId="33" fillId="0" borderId="8" xfId="1" applyFont="1" applyBorder="1" applyAlignment="1">
      <alignment horizontal="center"/>
    </xf>
    <xf numFmtId="43" fontId="33" fillId="0" borderId="13" xfId="1" applyFont="1" applyBorder="1" applyAlignment="1">
      <alignment horizontal="center"/>
    </xf>
    <xf numFmtId="0" fontId="40" fillId="0" borderId="9" xfId="0" applyFont="1" applyBorder="1"/>
    <xf numFmtId="0" fontId="40" fillId="0" borderId="1" xfId="0" applyFont="1" applyBorder="1"/>
    <xf numFmtId="0" fontId="33" fillId="0" borderId="1" xfId="0" applyFont="1" applyBorder="1" applyAlignment="1">
      <alignment horizontal="center"/>
    </xf>
    <xf numFmtId="43" fontId="33" fillId="0" borderId="1" xfId="1" applyFont="1" applyBorder="1" applyAlignment="1">
      <alignment horizontal="center"/>
    </xf>
    <xf numFmtId="0" fontId="33" fillId="0" borderId="15" xfId="0" applyFont="1" applyBorder="1"/>
    <xf numFmtId="0" fontId="33" fillId="0" borderId="9" xfId="0" applyFont="1" applyBorder="1" applyAlignment="1">
      <alignment horizontal="left"/>
    </xf>
    <xf numFmtId="0" fontId="33" fillId="0" borderId="1" xfId="0" applyFont="1" applyBorder="1" applyAlignment="1">
      <alignment horizontal="left"/>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48" fillId="0" borderId="10" xfId="0" applyFont="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90" fillId="13" borderId="7" xfId="2" applyFont="1" applyFill="1" applyBorder="1" applyAlignment="1">
      <alignment horizontal="center" vertical="center" wrapText="1"/>
    </xf>
    <xf numFmtId="0" fontId="90" fillId="13" borderId="8" xfId="2" applyFont="1" applyFill="1" applyBorder="1" applyAlignment="1">
      <alignment horizontal="center" vertical="center" wrapText="1"/>
    </xf>
    <xf numFmtId="0" fontId="90" fillId="13" borderId="11" xfId="2" applyFont="1" applyFill="1" applyBorder="1" applyAlignment="1">
      <alignment horizontal="center" vertical="center" wrapText="1"/>
    </xf>
    <xf numFmtId="0" fontId="90" fillId="13" borderId="0" xfId="2" applyFont="1" applyFill="1" applyAlignment="1">
      <alignment horizontal="center" vertical="center" wrapText="1"/>
    </xf>
    <xf numFmtId="0" fontId="90" fillId="13"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16" fillId="2" borderId="1" xfId="2" applyFont="1" applyFill="1" applyBorder="1" applyAlignment="1">
      <alignment horizontal="center"/>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52" fillId="13" borderId="7" xfId="2" applyFont="1" applyFill="1" applyBorder="1" applyAlignment="1">
      <alignment horizontal="center" vertical="center" wrapText="1"/>
    </xf>
    <xf numFmtId="0" fontId="15" fillId="0" borderId="4" xfId="2" applyFont="1" applyBorder="1" applyAlignment="1">
      <alignment horizontal="right" vertical="center" wrapText="1"/>
    </xf>
    <xf numFmtId="0" fontId="52" fillId="13" borderId="15" xfId="2" applyFont="1" applyFill="1" applyBorder="1" applyAlignment="1">
      <alignment horizontal="center" vertical="center" wrapText="1"/>
    </xf>
    <xf numFmtId="0" fontId="52" fillId="13" borderId="9" xfId="2" applyFont="1" applyFill="1" applyBorder="1" applyAlignment="1">
      <alignment horizontal="center" vertical="center" wrapText="1"/>
    </xf>
    <xf numFmtId="4" fontId="30" fillId="4" borderId="1" xfId="0" applyNumberFormat="1" applyFont="1" applyFill="1" applyBorder="1" applyAlignment="1">
      <alignment horizontal="center" vertical="center"/>
    </xf>
    <xf numFmtId="0" fontId="30" fillId="0" borderId="1" xfId="0" applyFont="1" applyBorder="1" applyAlignment="1">
      <alignment horizontal="center" vertical="center" wrapText="1"/>
    </xf>
    <xf numFmtId="0" fontId="91" fillId="8" borderId="8" xfId="0" applyFont="1" applyFill="1" applyBorder="1" applyAlignment="1">
      <alignment horizontal="center" vertical="center" wrapText="1"/>
    </xf>
    <xf numFmtId="0" fontId="91" fillId="8" borderId="13" xfId="0" applyFont="1" applyFill="1" applyBorder="1" applyAlignment="1">
      <alignment horizontal="center" vertical="center" wrapText="1"/>
    </xf>
    <xf numFmtId="0" fontId="6" fillId="0" borderId="10" xfId="0" applyFont="1" applyBorder="1" applyAlignment="1">
      <alignment horizontal="left" vertical="center" wrapText="1"/>
    </xf>
    <xf numFmtId="4" fontId="2" fillId="4" borderId="1" xfId="0" quotePrefix="1" applyNumberFormat="1" applyFont="1" applyFill="1" applyBorder="1" applyAlignment="1">
      <alignment horizontal="center" vertical="center"/>
    </xf>
    <xf numFmtId="0" fontId="92" fillId="8" borderId="15" xfId="0" applyFont="1" applyFill="1" applyBorder="1" applyAlignment="1">
      <alignment horizontal="center" vertical="center" wrapText="1"/>
    </xf>
    <xf numFmtId="4" fontId="30" fillId="4" borderId="1" xfId="0" applyNumberFormat="1" applyFont="1" applyFill="1" applyBorder="1" applyAlignment="1">
      <alignment horizontal="center" vertical="center" wrapText="1"/>
    </xf>
    <xf numFmtId="0" fontId="25" fillId="0" borderId="15" xfId="0" applyFont="1" applyBorder="1" applyAlignment="1">
      <alignment horizontal="center" vertical="center" wrapText="1"/>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0" fontId="93" fillId="8" borderId="7" xfId="0" applyFont="1" applyFill="1" applyBorder="1" applyAlignment="1">
      <alignment horizontal="center" vertical="center" wrapText="1"/>
    </xf>
    <xf numFmtId="0" fontId="94" fillId="4" borderId="10" xfId="0" applyFont="1" applyFill="1" applyBorder="1" applyAlignment="1">
      <alignment horizontal="center"/>
    </xf>
    <xf numFmtId="0" fontId="94" fillId="4" borderId="9" xfId="0" applyFont="1" applyFill="1" applyBorder="1" applyAlignment="1">
      <alignment horizont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93" fillId="8" borderId="4" xfId="0" applyFont="1" applyFill="1" applyBorder="1" applyAlignment="1">
      <alignment horizontal="center" vertical="center" wrapText="1"/>
    </xf>
    <xf numFmtId="0" fontId="93" fillId="8" borderId="5" xfId="0" applyFont="1" applyFill="1" applyBorder="1" applyAlignment="1">
      <alignment horizontal="center" vertical="center" wrapText="1"/>
    </xf>
    <xf numFmtId="0" fontId="93" fillId="8" borderId="8" xfId="0" applyFont="1" applyFill="1" applyBorder="1" applyAlignment="1">
      <alignment horizontal="center" vertical="center" wrapText="1"/>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0" fontId="96" fillId="0" borderId="1" xfId="0" applyFont="1" applyBorder="1" applyAlignment="1">
      <alignment horizontal="right" vertical="center" wrapText="1"/>
    </xf>
    <xf numFmtId="0" fontId="96" fillId="0" borderId="3" xfId="0" applyFont="1" applyBorder="1" applyAlignment="1">
      <alignment horizontal="center" vertical="center" wrapText="1"/>
    </xf>
    <xf numFmtId="0" fontId="96" fillId="0" borderId="4" xfId="0" applyFont="1" applyBorder="1" applyAlignment="1">
      <alignment horizontal="center" vertical="center" wrapText="1"/>
    </xf>
    <xf numFmtId="0" fontId="96" fillId="0" borderId="6" xfId="0" applyFont="1" applyBorder="1" applyAlignment="1">
      <alignment horizontal="center" vertical="center" wrapText="1"/>
    </xf>
    <xf numFmtId="0" fontId="96" fillId="0" borderId="7" xfId="0" applyFont="1" applyBorder="1" applyAlignment="1">
      <alignment horizontal="center" vertical="center" wrapText="1"/>
    </xf>
    <xf numFmtId="0" fontId="96" fillId="0" borderId="1" xfId="0" applyFont="1" applyBorder="1" applyAlignment="1">
      <alignment horizontal="center" vertical="center" wrapText="1"/>
    </xf>
    <xf numFmtId="0" fontId="96" fillId="0" borderId="10" xfId="0" applyFont="1" applyBorder="1" applyAlignment="1">
      <alignment horizontal="center" vertical="center" wrapText="1"/>
    </xf>
    <xf numFmtId="0" fontId="96" fillId="0" borderId="9" xfId="0" applyFont="1" applyBorder="1" applyAlignment="1">
      <alignment horizontal="center" vertical="center" wrapText="1"/>
    </xf>
    <xf numFmtId="0" fontId="87" fillId="9" borderId="0" xfId="0" applyFont="1" applyFill="1" applyAlignment="1">
      <alignment horizontal="center" vertical="center" wrapText="1"/>
    </xf>
    <xf numFmtId="0" fontId="82" fillId="8" borderId="7" xfId="0" applyFont="1" applyFill="1" applyBorder="1" applyAlignment="1">
      <alignment horizontal="center" vertic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0" fontId="32" fillId="2" borderId="14" xfId="0" applyFont="1" applyFill="1" applyBorder="1"/>
    <xf numFmtId="4" fontId="32" fillId="2" borderId="14" xfId="0" applyNumberFormat="1" applyFont="1" applyFill="1" applyBorder="1"/>
    <xf numFmtId="4" fontId="32" fillId="2" borderId="13" xfId="0" applyNumberFormat="1" applyFont="1" applyFill="1" applyBorder="1"/>
  </cellXfs>
  <cellStyles count="6">
    <cellStyle name="Milliers" xfId="1" builtinId="3"/>
    <cellStyle name="Milliers 2" xfId="5" xr:uid="{0FBF0FF0-00C1-4E63-A13C-6EFEF772168B}"/>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10</xdr:col>
      <xdr:colOff>515447</xdr:colOff>
      <xdr:row>25</xdr:row>
      <xdr:rowOff>48195</xdr:rowOff>
    </xdr:to>
    <xdr:pic>
      <xdr:nvPicPr>
        <xdr:cNvPr id="3" name="Image 2">
          <a:extLst>
            <a:ext uri="{FF2B5EF4-FFF2-40B4-BE49-F238E27FC236}">
              <a16:creationId xmlns:a16="http://schemas.microsoft.com/office/drawing/2014/main" id="{E150D81F-5429-A2AD-057B-F7B6153D2FFF}"/>
            </a:ext>
          </a:extLst>
        </xdr:cNvPr>
        <xdr:cNvPicPr>
          <a:picLocks noChangeAspect="1"/>
        </xdr:cNvPicPr>
      </xdr:nvPicPr>
      <xdr:blipFill>
        <a:blip xmlns:r="http://schemas.openxmlformats.org/officeDocument/2006/relationships" r:embed="rId1"/>
        <a:stretch>
          <a:fillRect/>
        </a:stretch>
      </xdr:blipFill>
      <xdr:spPr>
        <a:xfrm>
          <a:off x="762000" y="2105025"/>
          <a:ext cx="7859222" cy="4086795"/>
        </a:xfrm>
        <a:prstGeom prst="rect">
          <a:avLst/>
        </a:prstGeom>
      </xdr:spPr>
    </xdr:pic>
    <xdr:clientData/>
  </xdr:twoCellAnchor>
  <xdr:twoCellAnchor editAs="oneCell">
    <xdr:from>
      <xdr:col>1</xdr:col>
      <xdr:colOff>457200</xdr:colOff>
      <xdr:row>26</xdr:row>
      <xdr:rowOff>0</xdr:rowOff>
    </xdr:from>
    <xdr:to>
      <xdr:col>10</xdr:col>
      <xdr:colOff>296277</xdr:colOff>
      <xdr:row>36</xdr:row>
      <xdr:rowOff>28845</xdr:rowOff>
    </xdr:to>
    <xdr:pic>
      <xdr:nvPicPr>
        <xdr:cNvPr id="4" name="Image 3">
          <a:extLst>
            <a:ext uri="{FF2B5EF4-FFF2-40B4-BE49-F238E27FC236}">
              <a16:creationId xmlns:a16="http://schemas.microsoft.com/office/drawing/2014/main" id="{2FB40B4F-8BEF-D6DB-8C3A-E5B3137E3B5C}"/>
            </a:ext>
          </a:extLst>
        </xdr:cNvPr>
        <xdr:cNvPicPr>
          <a:picLocks noChangeAspect="1"/>
        </xdr:cNvPicPr>
      </xdr:nvPicPr>
      <xdr:blipFill>
        <a:blip xmlns:r="http://schemas.openxmlformats.org/officeDocument/2006/relationships" r:embed="rId2"/>
        <a:stretch>
          <a:fillRect/>
        </a:stretch>
      </xdr:blipFill>
      <xdr:spPr>
        <a:xfrm>
          <a:off x="1219200" y="6334125"/>
          <a:ext cx="7182852" cy="193384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454122</xdr:colOff>
      <xdr:row>0</xdr:row>
      <xdr:rowOff>0</xdr:rowOff>
    </xdr:from>
    <xdr:to>
      <xdr:col>10</xdr:col>
      <xdr:colOff>392546</xdr:colOff>
      <xdr:row>8</xdr:row>
      <xdr:rowOff>73828</xdr:rowOff>
    </xdr:to>
    <xdr:pic>
      <xdr:nvPicPr>
        <xdr:cNvPr id="2" name="Image 1">
          <a:extLst>
            <a:ext uri="{FF2B5EF4-FFF2-40B4-BE49-F238E27FC236}">
              <a16:creationId xmlns:a16="http://schemas.microsoft.com/office/drawing/2014/main" id="{FBD75F1D-B5BA-412B-9653-26AE89AADC41}"/>
            </a:ext>
          </a:extLst>
        </xdr:cNvPr>
        <xdr:cNvPicPr>
          <a:picLocks noChangeAspect="1"/>
        </xdr:cNvPicPr>
      </xdr:nvPicPr>
      <xdr:blipFill>
        <a:blip xmlns:r="http://schemas.openxmlformats.org/officeDocument/2006/relationships" r:embed="rId1"/>
        <a:stretch>
          <a:fillRect/>
        </a:stretch>
      </xdr:blipFill>
      <xdr:spPr>
        <a:xfrm>
          <a:off x="454122" y="0"/>
          <a:ext cx="7558424" cy="1645453"/>
        </a:xfrm>
        <a:prstGeom prst="rect">
          <a:avLst/>
        </a:prstGeom>
      </xdr:spPr>
    </xdr:pic>
    <xdr:clientData/>
  </xdr:twoCellAnchor>
  <xdr:twoCellAnchor editAs="oneCell">
    <xdr:from>
      <xdr:col>1</xdr:col>
      <xdr:colOff>0</xdr:colOff>
      <xdr:row>34</xdr:row>
      <xdr:rowOff>0</xdr:rowOff>
    </xdr:from>
    <xdr:to>
      <xdr:col>6</xdr:col>
      <xdr:colOff>368643</xdr:colOff>
      <xdr:row>41</xdr:row>
      <xdr:rowOff>177903</xdr:rowOff>
    </xdr:to>
    <xdr:pic>
      <xdr:nvPicPr>
        <xdr:cNvPr id="3" name="Image 2">
          <a:extLst>
            <a:ext uri="{FF2B5EF4-FFF2-40B4-BE49-F238E27FC236}">
              <a16:creationId xmlns:a16="http://schemas.microsoft.com/office/drawing/2014/main" id="{AD53E769-D9AF-45C3-8F24-7DFC206B3154}"/>
            </a:ext>
          </a:extLst>
        </xdr:cNvPr>
        <xdr:cNvPicPr>
          <a:picLocks noChangeAspect="1"/>
        </xdr:cNvPicPr>
      </xdr:nvPicPr>
      <xdr:blipFill>
        <a:blip xmlns:r="http://schemas.openxmlformats.org/officeDocument/2006/relationships" r:embed="rId2"/>
        <a:stretch>
          <a:fillRect/>
        </a:stretch>
      </xdr:blipFill>
      <xdr:spPr>
        <a:xfrm>
          <a:off x="762000" y="6753225"/>
          <a:ext cx="4178643" cy="1511403"/>
        </a:xfrm>
        <a:prstGeom prst="rect">
          <a:avLst/>
        </a:prstGeom>
      </xdr:spPr>
    </xdr:pic>
    <xdr:clientData/>
  </xdr:twoCellAnchor>
  <xdr:twoCellAnchor editAs="oneCell">
    <xdr:from>
      <xdr:col>8</xdr:col>
      <xdr:colOff>0</xdr:colOff>
      <xdr:row>26</xdr:row>
      <xdr:rowOff>0</xdr:rowOff>
    </xdr:from>
    <xdr:to>
      <xdr:col>16</xdr:col>
      <xdr:colOff>134219</xdr:colOff>
      <xdr:row>34</xdr:row>
      <xdr:rowOff>38323</xdr:rowOff>
    </xdr:to>
    <xdr:pic>
      <xdr:nvPicPr>
        <xdr:cNvPr id="4" name="Image 3">
          <a:extLst>
            <a:ext uri="{FF2B5EF4-FFF2-40B4-BE49-F238E27FC236}">
              <a16:creationId xmlns:a16="http://schemas.microsoft.com/office/drawing/2014/main" id="{29DB388A-D49E-214C-AAEC-DEF556C23018}"/>
            </a:ext>
          </a:extLst>
        </xdr:cNvPr>
        <xdr:cNvPicPr>
          <a:picLocks noChangeAspect="1"/>
        </xdr:cNvPicPr>
      </xdr:nvPicPr>
      <xdr:blipFill>
        <a:blip xmlns:r="http://schemas.openxmlformats.org/officeDocument/2006/relationships" r:embed="rId3"/>
        <a:stretch>
          <a:fillRect/>
        </a:stretch>
      </xdr:blipFill>
      <xdr:spPr>
        <a:xfrm>
          <a:off x="6096000" y="5591175"/>
          <a:ext cx="6230219" cy="160042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296323</xdr:colOff>
      <xdr:row>17</xdr:row>
      <xdr:rowOff>425</xdr:rowOff>
    </xdr:to>
    <xdr:pic>
      <xdr:nvPicPr>
        <xdr:cNvPr id="2" name="Image 1">
          <a:extLst>
            <a:ext uri="{FF2B5EF4-FFF2-40B4-BE49-F238E27FC236}">
              <a16:creationId xmlns:a16="http://schemas.microsoft.com/office/drawing/2014/main" id="{8E698183-3200-4E9A-81AC-A783A6BF38B7}"/>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C\Desktop\PAIE%202026\AVANTAGES%20EN%20NATURE%20ET%20FRAIS%20PROFESSIONNELS\AN%20LOGEMENT%20EXERCICE%201%20BP.xlsx" TargetMode="External"/><Relationship Id="rId1" Type="http://schemas.openxmlformats.org/officeDocument/2006/relationships/externalLinkPath" Target="AN%20LOGEMENT%20EXERCICE%201%20B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
      <sheetName val="INTRODUCTION "/>
      <sheetName val="Masque de Saisie"/>
      <sheetName val="ENONCE 2025"/>
      <sheetName val="CORRECTION 2025"/>
      <sheetName val="BP VERSION JANVIER 2023"/>
      <sheetName val="BP FORMAT JUILLET 2023"/>
      <sheetName val="HEURES SUPPLEMENTAIRES "/>
      <sheetName val="FEUILLE DE CONTROLE "/>
      <sheetName val="TABLE DES TAUX 2025 "/>
      <sheetName val="TR Matrice Net Imposable "/>
      <sheetName val="TR Matrice Cotisations "/>
      <sheetName val="RED. GEN. de COT. Janv"/>
      <sheetName val="Red Gen de CoBP Format Juillet"/>
      <sheetName val="MATRICE IJSS ABSENCE "/>
      <sheetName val="TAUX NEUTRE 1 "/>
      <sheetName val="TAUX NEUTRE JANVIER "/>
      <sheetName val="TAUX NEUTRE MAI "/>
      <sheetName val="MATRICE IJSS MALADIE"/>
      <sheetName val="MATRICE IJSS MATERNITE "/>
      <sheetName val="MATRICE ISS AT "/>
    </sheetNames>
    <sheetDataSet>
      <sheetData sheetId="0" refreshError="1"/>
      <sheetData sheetId="1" refreshError="1"/>
      <sheetData sheetId="2" refreshError="1"/>
      <sheetData sheetId="3" refreshError="1"/>
      <sheetData sheetId="4" refreshError="1"/>
      <sheetData sheetId="5" refreshError="1"/>
      <sheetData sheetId="6">
        <row r="33">
          <cell r="J33">
            <v>2389.9260869565214</v>
          </cell>
        </row>
        <row r="40">
          <cell r="G40">
            <v>47.8</v>
          </cell>
        </row>
        <row r="67">
          <cell r="F67">
            <v>70.87</v>
          </cell>
        </row>
        <row r="73">
          <cell r="F73">
            <v>531.24</v>
          </cell>
        </row>
        <row r="81">
          <cell r="F81">
            <v>-42.1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5"/>
  <sheetViews>
    <sheetView topLeftCell="A204" zoomScale="140" zoomScaleNormal="140" workbookViewId="0">
      <selection activeCell="D184" sqref="D184"/>
    </sheetView>
  </sheetViews>
  <sheetFormatPr baseColWidth="10" defaultRowHeight="15" x14ac:dyDescent="0.25"/>
  <cols>
    <col min="14" max="14" width="23.5703125" customWidth="1"/>
    <col min="15" max="15" width="12.7109375" customWidth="1"/>
  </cols>
  <sheetData>
    <row r="1" spans="2:16" x14ac:dyDescent="0.25">
      <c r="J1" s="692" t="s">
        <v>424</v>
      </c>
      <c r="K1" s="692"/>
      <c r="L1" s="692"/>
      <c r="M1" s="692"/>
      <c r="N1" s="692"/>
      <c r="O1" s="692"/>
      <c r="P1" s="692"/>
    </row>
    <row r="3" spans="2:16" x14ac:dyDescent="0.25">
      <c r="J3" s="56" t="s">
        <v>425</v>
      </c>
      <c r="M3" s="56"/>
      <c r="N3" s="56"/>
      <c r="O3" s="56"/>
    </row>
    <row r="4" spans="2:16" x14ac:dyDescent="0.25">
      <c r="L4" s="56" t="s">
        <v>426</v>
      </c>
      <c r="M4" s="56"/>
      <c r="N4" s="56"/>
      <c r="O4" s="56"/>
    </row>
    <row r="5" spans="2:16" x14ac:dyDescent="0.25">
      <c r="L5" s="56" t="s">
        <v>427</v>
      </c>
      <c r="M5" s="56"/>
      <c r="N5" s="56"/>
      <c r="O5" s="56"/>
    </row>
    <row r="6" spans="2:16" x14ac:dyDescent="0.25">
      <c r="L6" s="56"/>
      <c r="M6" s="56"/>
      <c r="N6" s="56"/>
      <c r="O6" s="56"/>
    </row>
    <row r="7" spans="2:16" ht="18.75" x14ac:dyDescent="0.25">
      <c r="B7" s="693" t="s">
        <v>428</v>
      </c>
      <c r="C7" s="694"/>
      <c r="D7" s="466"/>
      <c r="E7" s="466"/>
      <c r="I7" s="699" t="s">
        <v>429</v>
      </c>
      <c r="J7" s="700"/>
      <c r="L7" s="56" t="s">
        <v>430</v>
      </c>
      <c r="M7" s="56"/>
      <c r="N7" s="56"/>
      <c r="O7" s="56"/>
    </row>
    <row r="8" spans="2:16" ht="18.75" x14ac:dyDescent="0.25">
      <c r="B8" s="695"/>
      <c r="C8" s="696"/>
      <c r="D8" s="466"/>
      <c r="E8" s="466"/>
      <c r="I8" s="701"/>
      <c r="J8" s="702"/>
      <c r="L8" s="56"/>
      <c r="M8" s="56"/>
      <c r="N8" s="56"/>
      <c r="O8" s="56"/>
    </row>
    <row r="9" spans="2:16" ht="18.75" x14ac:dyDescent="0.25">
      <c r="B9" s="695"/>
      <c r="C9" s="696"/>
      <c r="D9" s="466"/>
      <c r="E9" s="466"/>
      <c r="I9" s="701"/>
      <c r="J9" s="702"/>
      <c r="L9" s="56" t="s">
        <v>431</v>
      </c>
      <c r="M9" s="56"/>
      <c r="N9" s="56"/>
      <c r="O9" s="56"/>
    </row>
    <row r="10" spans="2:16" ht="18.75" x14ac:dyDescent="0.25">
      <c r="B10" s="695"/>
      <c r="C10" s="696"/>
      <c r="D10" s="466"/>
      <c r="E10" s="466"/>
      <c r="I10" s="701"/>
      <c r="J10" s="702"/>
      <c r="L10" s="56"/>
      <c r="M10" s="56"/>
      <c r="N10" s="56"/>
      <c r="O10" s="56"/>
    </row>
    <row r="11" spans="2:16" ht="18.75" x14ac:dyDescent="0.25">
      <c r="B11" s="695"/>
      <c r="C11" s="696"/>
      <c r="D11" s="466"/>
      <c r="E11" s="466"/>
      <c r="I11" s="701"/>
      <c r="J11" s="702"/>
      <c r="L11" s="465" t="s">
        <v>432</v>
      </c>
      <c r="M11" s="56"/>
      <c r="N11" s="56"/>
      <c r="O11" s="56"/>
    </row>
    <row r="12" spans="2:16" ht="18.75" x14ac:dyDescent="0.25">
      <c r="B12" s="695"/>
      <c r="C12" s="696"/>
      <c r="D12" s="466"/>
      <c r="E12" s="466"/>
      <c r="I12" s="701"/>
      <c r="J12" s="702"/>
      <c r="L12" s="56"/>
      <c r="M12" s="56"/>
      <c r="N12" s="56"/>
      <c r="O12" s="56"/>
    </row>
    <row r="13" spans="2:16" ht="18.75" x14ac:dyDescent="0.25">
      <c r="B13" s="695"/>
      <c r="C13" s="696"/>
      <c r="D13" s="466"/>
      <c r="E13" s="466"/>
      <c r="I13" s="701"/>
      <c r="J13" s="702"/>
      <c r="L13" s="56" t="s">
        <v>433</v>
      </c>
      <c r="M13" s="56"/>
      <c r="N13" s="56"/>
      <c r="O13" s="56"/>
    </row>
    <row r="14" spans="2:16" ht="18.75" x14ac:dyDescent="0.25">
      <c r="B14" s="695"/>
      <c r="C14" s="696"/>
      <c r="D14" s="466"/>
      <c r="E14" s="466"/>
      <c r="I14" s="701"/>
      <c r="J14" s="702"/>
      <c r="L14" s="56"/>
      <c r="M14" s="56"/>
      <c r="N14" s="56"/>
      <c r="O14" s="56"/>
    </row>
    <row r="15" spans="2:16" ht="18.75" x14ac:dyDescent="0.25">
      <c r="B15" s="697"/>
      <c r="C15" s="698"/>
      <c r="D15" s="466"/>
      <c r="E15" s="466"/>
      <c r="I15" s="703"/>
      <c r="J15" s="704"/>
      <c r="L15" s="56" t="s">
        <v>434</v>
      </c>
      <c r="M15" s="56"/>
      <c r="N15" s="56"/>
      <c r="O15" s="56"/>
    </row>
    <row r="16" spans="2:16" x14ac:dyDescent="0.25">
      <c r="L16" s="56"/>
      <c r="M16" s="56"/>
      <c r="N16" s="56"/>
      <c r="O16" s="56"/>
    </row>
    <row r="17" spans="1:15" x14ac:dyDescent="0.25">
      <c r="L17" s="56" t="s">
        <v>13</v>
      </c>
      <c r="M17" s="56"/>
      <c r="N17" s="56"/>
      <c r="O17" s="56"/>
    </row>
    <row r="18" spans="1:15" x14ac:dyDescent="0.25">
      <c r="L18" s="56"/>
      <c r="M18" s="56"/>
      <c r="N18" s="56"/>
      <c r="O18" s="56"/>
    </row>
    <row r="19" spans="1:15" x14ac:dyDescent="0.25">
      <c r="L19" s="56" t="s">
        <v>435</v>
      </c>
      <c r="M19" s="56"/>
      <c r="N19" s="56"/>
      <c r="O19" s="56"/>
    </row>
    <row r="20" spans="1:15" x14ac:dyDescent="0.25">
      <c r="L20" s="56"/>
      <c r="M20" s="56"/>
      <c r="N20" s="56"/>
      <c r="O20" s="56"/>
    </row>
    <row r="21" spans="1:15" x14ac:dyDescent="0.25">
      <c r="L21" s="56" t="s">
        <v>319</v>
      </c>
      <c r="M21" s="56"/>
      <c r="N21" s="56"/>
      <c r="O21" s="56"/>
    </row>
    <row r="22" spans="1:15" x14ac:dyDescent="0.25">
      <c r="L22" s="56"/>
      <c r="M22" s="56"/>
      <c r="N22" s="56"/>
      <c r="O22" s="56"/>
    </row>
    <row r="23" spans="1:15" x14ac:dyDescent="0.25">
      <c r="A23" t="s">
        <v>436</v>
      </c>
      <c r="L23" s="56" t="s">
        <v>437</v>
      </c>
      <c r="M23" s="56"/>
      <c r="N23" s="56"/>
      <c r="O23" s="56"/>
    </row>
    <row r="24" spans="1:15" x14ac:dyDescent="0.25">
      <c r="A24" t="s">
        <v>438</v>
      </c>
    </row>
    <row r="25" spans="1:15" x14ac:dyDescent="0.25">
      <c r="A25" t="s">
        <v>439</v>
      </c>
    </row>
    <row r="26" spans="1:15" x14ac:dyDescent="0.25">
      <c r="A26" t="s">
        <v>440</v>
      </c>
      <c r="E26" s="685" t="s">
        <v>441</v>
      </c>
      <c r="F26" s="685"/>
      <c r="H26" s="685" t="s">
        <v>442</v>
      </c>
      <c r="I26" s="685"/>
      <c r="K26" s="685" t="s">
        <v>443</v>
      </c>
      <c r="L26" s="685"/>
    </row>
    <row r="27" spans="1:15" x14ac:dyDescent="0.25">
      <c r="A27" t="s">
        <v>444</v>
      </c>
    </row>
    <row r="28" spans="1:15" x14ac:dyDescent="0.25">
      <c r="B28" s="685"/>
      <c r="C28" s="685"/>
      <c r="E28" s="686" t="s">
        <v>445</v>
      </c>
      <c r="F28" s="687"/>
      <c r="H28" s="686" t="s">
        <v>446</v>
      </c>
      <c r="I28" s="687"/>
      <c r="K28" s="686" t="s">
        <v>446</v>
      </c>
      <c r="L28" s="687"/>
    </row>
    <row r="29" spans="1:15" x14ac:dyDescent="0.25">
      <c r="B29" s="685"/>
      <c r="C29" s="685"/>
      <c r="E29" s="688"/>
      <c r="F29" s="689"/>
      <c r="H29" s="688"/>
      <c r="I29" s="689"/>
      <c r="K29" s="688"/>
      <c r="L29" s="689"/>
    </row>
    <row r="30" spans="1:15" x14ac:dyDescent="0.25">
      <c r="B30" s="685"/>
      <c r="C30" s="685"/>
      <c r="E30" s="688"/>
      <c r="F30" s="689"/>
      <c r="H30" s="688"/>
      <c r="I30" s="689"/>
      <c r="K30" s="688"/>
      <c r="L30" s="689"/>
    </row>
    <row r="31" spans="1:15" x14ac:dyDescent="0.25">
      <c r="B31" s="685"/>
      <c r="C31" s="685"/>
      <c r="E31" s="688"/>
      <c r="F31" s="689"/>
      <c r="H31" s="688"/>
      <c r="I31" s="689"/>
      <c r="K31" s="688"/>
      <c r="L31" s="689"/>
    </row>
    <row r="32" spans="1:15" x14ac:dyDescent="0.25">
      <c r="B32" s="685"/>
      <c r="C32" s="685"/>
      <c r="E32" s="688"/>
      <c r="F32" s="689"/>
      <c r="H32" s="688"/>
      <c r="I32" s="689"/>
      <c r="K32" s="688"/>
      <c r="L32" s="689"/>
    </row>
    <row r="33" spans="2:12" x14ac:dyDescent="0.25">
      <c r="B33" s="685"/>
      <c r="C33" s="685"/>
      <c r="E33" s="688"/>
      <c r="F33" s="689"/>
      <c r="H33" s="688"/>
      <c r="I33" s="689"/>
      <c r="K33" s="688"/>
      <c r="L33" s="689"/>
    </row>
    <row r="34" spans="2:12" x14ac:dyDescent="0.25">
      <c r="B34" s="685"/>
      <c r="C34" s="685"/>
      <c r="E34" s="688"/>
      <c r="F34" s="689"/>
      <c r="H34" s="688"/>
      <c r="I34" s="689"/>
      <c r="K34" s="688"/>
      <c r="L34" s="689"/>
    </row>
    <row r="35" spans="2:12" x14ac:dyDescent="0.25">
      <c r="B35" s="685"/>
      <c r="C35" s="685"/>
      <c r="E35" s="688"/>
      <c r="F35" s="689"/>
      <c r="H35" s="688"/>
      <c r="I35" s="689"/>
      <c r="K35" s="688"/>
      <c r="L35" s="689"/>
    </row>
    <row r="36" spans="2:12" x14ac:dyDescent="0.25">
      <c r="B36" s="685"/>
      <c r="C36" s="685"/>
      <c r="E36" s="690"/>
      <c r="F36" s="691"/>
      <c r="H36" s="690"/>
      <c r="I36" s="691"/>
      <c r="K36" s="690"/>
      <c r="L36" s="691"/>
    </row>
    <row r="38" spans="2:12" x14ac:dyDescent="0.25">
      <c r="J38" t="s">
        <v>574</v>
      </c>
    </row>
    <row r="39" spans="2:12" ht="15.75" x14ac:dyDescent="0.25">
      <c r="B39" s="181" t="s">
        <v>447</v>
      </c>
      <c r="C39" s="181"/>
      <c r="D39" s="181"/>
      <c r="E39" s="181"/>
      <c r="F39" s="56"/>
      <c r="G39" s="56"/>
      <c r="J39" t="s">
        <v>575</v>
      </c>
    </row>
    <row r="40" spans="2:12" ht="15.75" x14ac:dyDescent="0.25">
      <c r="B40" s="181"/>
      <c r="C40" s="181"/>
      <c r="D40" s="181"/>
      <c r="E40" s="181"/>
      <c r="F40" s="56"/>
      <c r="G40" s="56"/>
      <c r="J40" t="s">
        <v>576</v>
      </c>
    </row>
    <row r="41" spans="2:12" ht="15.75" x14ac:dyDescent="0.25">
      <c r="B41" s="181"/>
      <c r="C41" s="181" t="s">
        <v>448</v>
      </c>
      <c r="D41" s="181"/>
      <c r="E41" s="181"/>
      <c r="F41" s="56"/>
      <c r="G41" s="56"/>
    </row>
    <row r="42" spans="2:12" ht="15.75" x14ac:dyDescent="0.25">
      <c r="B42" s="181"/>
      <c r="C42" s="181"/>
      <c r="D42" s="181"/>
      <c r="E42" s="181"/>
      <c r="F42" s="56"/>
      <c r="G42" s="56"/>
    </row>
    <row r="43" spans="2:12" ht="15.75" x14ac:dyDescent="0.25">
      <c r="B43" s="181"/>
      <c r="C43" s="181"/>
      <c r="D43" s="181" t="s">
        <v>449</v>
      </c>
      <c r="E43" s="181"/>
      <c r="F43" s="56"/>
      <c r="G43" s="56"/>
    </row>
    <row r="44" spans="2:12" ht="15.75" x14ac:dyDescent="0.25">
      <c r="B44" s="181"/>
      <c r="C44" s="181"/>
      <c r="D44" s="181" t="s">
        <v>450</v>
      </c>
      <c r="E44" s="181"/>
      <c r="F44" s="56"/>
      <c r="G44" s="56"/>
    </row>
    <row r="45" spans="2:12" ht="15.75" x14ac:dyDescent="0.25">
      <c r="B45" s="181"/>
      <c r="C45" s="27"/>
      <c r="D45" s="181"/>
      <c r="E45" s="181"/>
      <c r="F45" s="56"/>
      <c r="G45" s="56"/>
    </row>
    <row r="46" spans="2:12" ht="15.75" x14ac:dyDescent="0.25">
      <c r="B46" s="27"/>
      <c r="C46" s="27"/>
      <c r="D46" s="27"/>
      <c r="E46" s="181" t="s">
        <v>451</v>
      </c>
    </row>
    <row r="48" spans="2:12" ht="15.75" x14ac:dyDescent="0.25">
      <c r="C48" s="181" t="s">
        <v>452</v>
      </c>
      <c r="D48" s="181"/>
      <c r="E48" s="27"/>
    </row>
    <row r="49" spans="3:9" ht="15.75" x14ac:dyDescent="0.25">
      <c r="C49" s="181"/>
      <c r="D49" s="181" t="s">
        <v>453</v>
      </c>
      <c r="E49" s="27"/>
    </row>
    <row r="50" spans="3:9" ht="15.75" x14ac:dyDescent="0.25">
      <c r="C50" s="181"/>
      <c r="D50" s="181" t="s">
        <v>454</v>
      </c>
      <c r="E50" s="27"/>
    </row>
    <row r="51" spans="3:9" ht="15.75" x14ac:dyDescent="0.25">
      <c r="C51" s="181"/>
      <c r="D51" s="181" t="s">
        <v>455</v>
      </c>
      <c r="E51" s="27"/>
    </row>
    <row r="52" spans="3:9" ht="15.75" x14ac:dyDescent="0.25">
      <c r="C52" s="27"/>
      <c r="D52" s="181" t="s">
        <v>456</v>
      </c>
      <c r="E52" s="27"/>
    </row>
    <row r="53" spans="3:9" ht="15.75" x14ac:dyDescent="0.25">
      <c r="C53" s="27"/>
      <c r="D53" s="181" t="s">
        <v>457</v>
      </c>
      <c r="E53" s="27"/>
    </row>
    <row r="54" spans="3:9" ht="15.75" x14ac:dyDescent="0.25">
      <c r="C54" s="27"/>
      <c r="D54" s="181" t="s">
        <v>458</v>
      </c>
      <c r="E54" s="27"/>
    </row>
    <row r="55" spans="3:9" ht="15.75" x14ac:dyDescent="0.25">
      <c r="C55" s="27"/>
      <c r="D55" s="181" t="s">
        <v>459</v>
      </c>
      <c r="E55" s="27"/>
    </row>
    <row r="56" spans="3:9" ht="15.75" x14ac:dyDescent="0.25">
      <c r="D56" s="181" t="s">
        <v>460</v>
      </c>
    </row>
    <row r="57" spans="3:9" ht="15.75" x14ac:dyDescent="0.25">
      <c r="D57" s="181" t="s">
        <v>461</v>
      </c>
    </row>
    <row r="59" spans="3:9" x14ac:dyDescent="0.25">
      <c r="E59" s="56" t="s">
        <v>462</v>
      </c>
      <c r="F59" s="56"/>
      <c r="G59" s="56"/>
      <c r="H59" s="56"/>
      <c r="I59" s="56"/>
    </row>
    <row r="60" spans="3:9" x14ac:dyDescent="0.25">
      <c r="E60" s="56"/>
      <c r="F60" s="56" t="s">
        <v>463</v>
      </c>
      <c r="G60" s="56"/>
      <c r="H60" s="56"/>
      <c r="I60" s="56"/>
    </row>
    <row r="61" spans="3:9" x14ac:dyDescent="0.25">
      <c r="E61" s="56"/>
      <c r="F61" s="56" t="s">
        <v>464</v>
      </c>
      <c r="G61" s="56"/>
      <c r="H61" s="56"/>
      <c r="I61" s="56"/>
    </row>
    <row r="62" spans="3:9" x14ac:dyDescent="0.25">
      <c r="E62" s="56"/>
      <c r="F62" s="56"/>
      <c r="G62" s="56" t="s">
        <v>465</v>
      </c>
      <c r="H62" s="56"/>
      <c r="I62" s="56"/>
    </row>
    <row r="63" spans="3:9" x14ac:dyDescent="0.25">
      <c r="E63" s="56"/>
      <c r="F63" s="56"/>
      <c r="G63" s="56" t="s">
        <v>466</v>
      </c>
      <c r="H63" s="56"/>
      <c r="I63" s="56"/>
    </row>
    <row r="64" spans="3:9" x14ac:dyDescent="0.25">
      <c r="E64" s="56"/>
      <c r="F64" s="56"/>
      <c r="G64" s="56" t="s">
        <v>467</v>
      </c>
      <c r="H64" s="56"/>
      <c r="I64" s="56"/>
    </row>
    <row r="65" spans="2:10" x14ac:dyDescent="0.25">
      <c r="E65" s="56"/>
      <c r="F65" s="56"/>
      <c r="G65" s="56" t="s">
        <v>468</v>
      </c>
      <c r="H65" s="56"/>
      <c r="I65" s="56"/>
    </row>
    <row r="66" spans="2:10" x14ac:dyDescent="0.25">
      <c r="E66" s="56"/>
      <c r="F66" s="56"/>
      <c r="G66" s="56" t="s">
        <v>469</v>
      </c>
      <c r="H66" s="56"/>
      <c r="I66" s="56"/>
    </row>
    <row r="67" spans="2:10" x14ac:dyDescent="0.25">
      <c r="E67" s="56"/>
      <c r="F67" s="56"/>
      <c r="G67" s="56" t="s">
        <v>470</v>
      </c>
      <c r="H67" s="56"/>
      <c r="I67" s="56"/>
    </row>
    <row r="68" spans="2:10" x14ac:dyDescent="0.25">
      <c r="E68" s="56"/>
      <c r="F68" s="56"/>
      <c r="G68" s="56" t="s">
        <v>781</v>
      </c>
      <c r="H68" s="56"/>
      <c r="I68" s="56"/>
      <c r="J68" s="56"/>
    </row>
    <row r="69" spans="2:10" x14ac:dyDescent="0.25">
      <c r="G69" s="56" t="s">
        <v>471</v>
      </c>
      <c r="H69" s="56"/>
      <c r="I69" s="56"/>
      <c r="J69" s="56"/>
    </row>
    <row r="70" spans="2:10" x14ac:dyDescent="0.25">
      <c r="G70" s="56"/>
      <c r="H70" s="56" t="s">
        <v>472</v>
      </c>
      <c r="I70" s="56"/>
      <c r="J70" s="56"/>
    </row>
    <row r="71" spans="2:10" x14ac:dyDescent="0.25">
      <c r="G71" s="56"/>
      <c r="H71" s="465" t="s">
        <v>473</v>
      </c>
      <c r="I71" s="56"/>
      <c r="J71" s="56"/>
    </row>
    <row r="72" spans="2:10" x14ac:dyDescent="0.25">
      <c r="G72" s="56"/>
      <c r="H72" s="56" t="s">
        <v>474</v>
      </c>
      <c r="I72" s="56"/>
      <c r="J72" s="56"/>
    </row>
    <row r="73" spans="2:10" x14ac:dyDescent="0.25">
      <c r="G73" s="56"/>
      <c r="H73" s="56"/>
      <c r="I73" s="465" t="s">
        <v>475</v>
      </c>
      <c r="J73" s="56"/>
    </row>
    <row r="74" spans="2:10" x14ac:dyDescent="0.25">
      <c r="G74" s="56"/>
      <c r="H74" s="56"/>
      <c r="I74" s="56" t="s">
        <v>476</v>
      </c>
      <c r="J74" s="56"/>
    </row>
    <row r="75" spans="2:10" x14ac:dyDescent="0.25">
      <c r="G75" s="56"/>
      <c r="H75" s="56"/>
      <c r="I75" s="56" t="s">
        <v>477</v>
      </c>
      <c r="J75" s="56"/>
    </row>
    <row r="76" spans="2:10" x14ac:dyDescent="0.25">
      <c r="G76" s="56"/>
      <c r="H76" s="56"/>
      <c r="I76" s="56"/>
      <c r="J76" s="56"/>
    </row>
    <row r="77" spans="2:10" x14ac:dyDescent="0.25">
      <c r="B77" s="56" t="s">
        <v>478</v>
      </c>
      <c r="G77" s="56"/>
      <c r="H77" s="56"/>
      <c r="I77" s="56"/>
      <c r="J77" s="56"/>
    </row>
    <row r="78" spans="2:10" x14ac:dyDescent="0.25">
      <c r="G78" s="56"/>
      <c r="H78" s="56"/>
      <c r="I78" s="56"/>
      <c r="J78" s="56"/>
    </row>
    <row r="79" spans="2:10" x14ac:dyDescent="0.25">
      <c r="B79" s="465" t="s">
        <v>479</v>
      </c>
      <c r="C79" s="56"/>
      <c r="D79" s="56"/>
      <c r="E79" s="56"/>
      <c r="F79" s="56"/>
      <c r="G79" s="56"/>
      <c r="H79" s="56"/>
      <c r="I79" s="56"/>
      <c r="J79" s="56"/>
    </row>
    <row r="80" spans="2:10" x14ac:dyDescent="0.25">
      <c r="B80" s="56" t="s">
        <v>480</v>
      </c>
      <c r="C80" s="56"/>
      <c r="D80" s="56"/>
      <c r="E80" s="56"/>
      <c r="F80" s="56"/>
      <c r="G80" s="56"/>
      <c r="H80" s="56"/>
      <c r="I80" s="56"/>
      <c r="J80" s="56"/>
    </row>
    <row r="81" spans="2:10" x14ac:dyDescent="0.25">
      <c r="B81" s="56"/>
      <c r="D81" s="56"/>
      <c r="E81" s="56"/>
      <c r="F81" s="56"/>
      <c r="G81" s="56"/>
      <c r="H81" s="56"/>
      <c r="I81" s="56"/>
      <c r="J81" s="56"/>
    </row>
    <row r="82" spans="2:10" x14ac:dyDescent="0.25">
      <c r="C82" s="56" t="s">
        <v>481</v>
      </c>
    </row>
    <row r="83" spans="2:10" x14ac:dyDescent="0.25">
      <c r="C83" s="56" t="s">
        <v>482</v>
      </c>
    </row>
    <row r="84" spans="2:10" x14ac:dyDescent="0.25">
      <c r="C84" s="56"/>
    </row>
    <row r="85" spans="2:10" x14ac:dyDescent="0.25">
      <c r="C85" s="56" t="s">
        <v>483</v>
      </c>
    </row>
    <row r="86" spans="2:10" x14ac:dyDescent="0.25">
      <c r="C86" s="56" t="s">
        <v>484</v>
      </c>
    </row>
    <row r="87" spans="2:10" x14ac:dyDescent="0.25">
      <c r="C87" s="56" t="s">
        <v>485</v>
      </c>
    </row>
    <row r="88" spans="2:10" x14ac:dyDescent="0.25">
      <c r="C88" s="56" t="s">
        <v>486</v>
      </c>
    </row>
    <row r="89" spans="2:10" x14ac:dyDescent="0.25">
      <c r="C89" s="56"/>
    </row>
    <row r="90" spans="2:10" x14ac:dyDescent="0.25">
      <c r="B90" s="56" t="s">
        <v>487</v>
      </c>
      <c r="D90" s="56"/>
      <c r="E90" s="56"/>
    </row>
    <row r="91" spans="2:10" x14ac:dyDescent="0.25">
      <c r="B91" s="56"/>
      <c r="D91" s="56"/>
      <c r="E91" s="56"/>
    </row>
    <row r="92" spans="2:10" x14ac:dyDescent="0.25">
      <c r="C92" s="56"/>
      <c r="D92" s="56" t="s">
        <v>488</v>
      </c>
      <c r="E92" s="56"/>
    </row>
    <row r="93" spans="2:10" x14ac:dyDescent="0.25">
      <c r="C93" s="56"/>
      <c r="D93" s="56"/>
      <c r="E93" s="56" t="s">
        <v>489</v>
      </c>
    </row>
    <row r="94" spans="2:10" x14ac:dyDescent="0.25">
      <c r="E94" s="56" t="s">
        <v>490</v>
      </c>
    </row>
    <row r="95" spans="2:10" x14ac:dyDescent="0.25">
      <c r="D95" s="56" t="s">
        <v>491</v>
      </c>
    </row>
    <row r="96" spans="2:10" x14ac:dyDescent="0.25">
      <c r="D96" s="56" t="s">
        <v>492</v>
      </c>
    </row>
    <row r="97" spans="2:11" x14ac:dyDescent="0.25">
      <c r="D97" s="56" t="s">
        <v>493</v>
      </c>
    </row>
    <row r="99" spans="2:11" x14ac:dyDescent="0.25">
      <c r="B99" s="56" t="s">
        <v>494</v>
      </c>
    </row>
    <row r="101" spans="2:11" x14ac:dyDescent="0.25">
      <c r="B101" s="56" t="s">
        <v>495</v>
      </c>
    </row>
    <row r="104" spans="2:11" x14ac:dyDescent="0.25">
      <c r="C104" s="56" t="s">
        <v>496</v>
      </c>
      <c r="D104" s="56"/>
      <c r="E104" s="56"/>
      <c r="F104" s="56"/>
      <c r="G104" s="56"/>
      <c r="H104" s="56"/>
      <c r="I104" s="56"/>
      <c r="J104" s="56"/>
      <c r="K104" s="56"/>
    </row>
    <row r="105" spans="2:11" x14ac:dyDescent="0.25">
      <c r="C105" s="56"/>
      <c r="D105" s="56"/>
      <c r="E105" s="56"/>
      <c r="F105" s="56"/>
      <c r="G105" s="56"/>
      <c r="H105" s="56"/>
      <c r="I105" s="56"/>
      <c r="J105" s="56"/>
      <c r="K105" s="56"/>
    </row>
    <row r="106" spans="2:11" x14ac:dyDescent="0.25">
      <c r="C106" s="56"/>
      <c r="D106" s="56" t="s">
        <v>497</v>
      </c>
      <c r="E106" s="56"/>
      <c r="F106" s="56"/>
      <c r="G106" s="56"/>
      <c r="H106" s="56"/>
      <c r="I106" s="56"/>
      <c r="J106" s="56"/>
      <c r="K106" s="56"/>
    </row>
    <row r="107" spans="2:11" x14ac:dyDescent="0.25">
      <c r="C107" s="56"/>
      <c r="D107" s="56"/>
      <c r="E107" s="56"/>
      <c r="F107" s="56"/>
      <c r="G107" s="56"/>
      <c r="H107" s="56"/>
      <c r="I107" s="56"/>
      <c r="J107" s="56"/>
      <c r="K107" s="56"/>
    </row>
    <row r="108" spans="2:11" x14ac:dyDescent="0.25">
      <c r="C108" s="56"/>
      <c r="D108" s="56"/>
      <c r="E108" s="465" t="s">
        <v>498</v>
      </c>
      <c r="F108" s="56"/>
      <c r="G108" s="56"/>
      <c r="H108" s="56"/>
      <c r="I108" s="56"/>
      <c r="J108" s="56"/>
      <c r="K108" s="56"/>
    </row>
    <row r="109" spans="2:11" x14ac:dyDescent="0.25">
      <c r="C109" s="56"/>
      <c r="D109" s="56"/>
      <c r="E109" s="56" t="s">
        <v>636</v>
      </c>
      <c r="F109" s="56"/>
      <c r="G109" s="56"/>
      <c r="H109" s="56"/>
      <c r="I109" s="56"/>
      <c r="J109" s="56"/>
      <c r="K109" s="56"/>
    </row>
    <row r="110" spans="2:11" x14ac:dyDescent="0.25">
      <c r="C110" s="56"/>
      <c r="D110" s="56"/>
      <c r="E110" s="56"/>
      <c r="F110" s="56"/>
      <c r="G110" s="56"/>
      <c r="H110" s="56"/>
      <c r="I110" s="56"/>
      <c r="J110" s="56"/>
      <c r="K110" s="56"/>
    </row>
    <row r="111" spans="2:11" x14ac:dyDescent="0.25">
      <c r="C111" s="56"/>
      <c r="D111" s="56"/>
      <c r="E111" s="56"/>
      <c r="F111" s="56" t="s">
        <v>499</v>
      </c>
      <c r="G111" s="56"/>
      <c r="H111" s="56"/>
      <c r="I111" s="56"/>
      <c r="J111" s="56"/>
      <c r="K111" s="56"/>
    </row>
    <row r="112" spans="2:11" x14ac:dyDescent="0.25">
      <c r="C112" s="56"/>
      <c r="D112" s="56"/>
      <c r="E112" s="56"/>
      <c r="F112" s="56"/>
      <c r="G112" s="56"/>
      <c r="H112" s="56" t="s">
        <v>500</v>
      </c>
      <c r="I112" s="56"/>
      <c r="J112" s="56"/>
      <c r="K112" s="56"/>
    </row>
    <row r="113" spans="2:13" x14ac:dyDescent="0.25">
      <c r="C113" s="56"/>
      <c r="D113" s="56"/>
      <c r="E113" s="56"/>
      <c r="F113" s="56"/>
      <c r="G113" s="56"/>
      <c r="H113" s="56" t="s">
        <v>61</v>
      </c>
      <c r="I113" s="56"/>
      <c r="J113" s="56"/>
      <c r="K113" s="56"/>
    </row>
    <row r="114" spans="2:13" x14ac:dyDescent="0.25">
      <c r="C114" s="56"/>
      <c r="D114" s="56"/>
      <c r="E114" s="56"/>
      <c r="F114" s="56"/>
      <c r="G114" s="56"/>
      <c r="H114" s="56" t="s">
        <v>501</v>
      </c>
      <c r="I114" s="56"/>
      <c r="J114" s="56"/>
      <c r="K114" s="56"/>
    </row>
    <row r="115" spans="2:13" x14ac:dyDescent="0.25">
      <c r="C115" s="56"/>
      <c r="D115" s="56"/>
      <c r="E115" s="56"/>
      <c r="F115" s="56"/>
      <c r="G115" s="56"/>
      <c r="H115" s="56" t="s">
        <v>502</v>
      </c>
      <c r="I115" s="56"/>
      <c r="J115" s="56"/>
      <c r="K115" s="56"/>
    </row>
    <row r="116" spans="2:13" x14ac:dyDescent="0.25">
      <c r="C116" s="56"/>
      <c r="D116" s="56"/>
      <c r="E116" s="56"/>
      <c r="F116" s="56"/>
      <c r="G116" s="56"/>
      <c r="H116" s="56" t="s">
        <v>503</v>
      </c>
      <c r="I116" s="56"/>
      <c r="J116" s="56"/>
      <c r="K116" s="56"/>
    </row>
    <row r="117" spans="2:13" x14ac:dyDescent="0.25">
      <c r="C117" s="56"/>
      <c r="D117" s="56"/>
      <c r="E117" s="56"/>
      <c r="F117" s="56"/>
      <c r="G117" s="56"/>
      <c r="H117" s="56" t="s">
        <v>504</v>
      </c>
      <c r="I117" s="56"/>
      <c r="J117" s="56"/>
      <c r="K117" s="56"/>
    </row>
    <row r="118" spans="2:13" x14ac:dyDescent="0.25">
      <c r="C118" s="56"/>
      <c r="D118" s="56"/>
      <c r="E118" s="56"/>
      <c r="F118" s="56"/>
      <c r="G118" s="56"/>
      <c r="H118" s="56" t="s">
        <v>505</v>
      </c>
      <c r="I118" s="56"/>
      <c r="J118" s="56"/>
      <c r="K118" s="56"/>
    </row>
    <row r="119" spans="2:13" x14ac:dyDescent="0.25">
      <c r="C119" s="56"/>
      <c r="D119" s="56"/>
      <c r="E119" s="56"/>
      <c r="F119" s="56"/>
      <c r="G119" s="56"/>
      <c r="H119" s="56" t="s">
        <v>506</v>
      </c>
      <c r="I119" s="56"/>
      <c r="J119" s="56"/>
      <c r="K119" s="56"/>
    </row>
    <row r="120" spans="2:13" x14ac:dyDescent="0.25">
      <c r="C120" s="56"/>
      <c r="D120" s="56"/>
      <c r="E120" s="56"/>
      <c r="F120" s="56"/>
      <c r="G120" s="56"/>
      <c r="H120" s="56"/>
      <c r="I120" s="56"/>
      <c r="J120" s="56"/>
      <c r="K120" s="56"/>
    </row>
    <row r="121" spans="2:13" x14ac:dyDescent="0.25">
      <c r="B121" s="467"/>
      <c r="C121" s="468"/>
      <c r="D121" s="468"/>
      <c r="E121" s="468"/>
      <c r="F121" s="468"/>
      <c r="G121" s="468"/>
      <c r="H121" s="468"/>
      <c r="I121" s="468"/>
      <c r="J121" s="468"/>
      <c r="K121" s="468"/>
      <c r="L121" s="469"/>
      <c r="M121" s="470"/>
    </row>
    <row r="122" spans="2:13" x14ac:dyDescent="0.25">
      <c r="B122" s="418"/>
      <c r="C122" s="56" t="s">
        <v>507</v>
      </c>
      <c r="D122" s="56"/>
      <c r="E122" s="56"/>
      <c r="H122" s="56"/>
      <c r="I122" s="56"/>
      <c r="J122" s="56"/>
      <c r="K122" s="56"/>
      <c r="M122" s="471"/>
    </row>
    <row r="123" spans="2:13" x14ac:dyDescent="0.25">
      <c r="B123" s="418"/>
      <c r="C123" s="56" t="s">
        <v>508</v>
      </c>
      <c r="D123" s="56"/>
      <c r="E123" s="56"/>
      <c r="H123" s="56"/>
      <c r="I123" s="56"/>
      <c r="J123" s="56"/>
      <c r="K123" s="56"/>
      <c r="M123" s="471"/>
    </row>
    <row r="124" spans="2:13" x14ac:dyDescent="0.25">
      <c r="B124" s="418"/>
      <c r="M124" s="471"/>
    </row>
    <row r="125" spans="2:13" x14ac:dyDescent="0.25">
      <c r="B125" s="418"/>
      <c r="D125" s="56" t="s">
        <v>509</v>
      </c>
      <c r="M125" s="471"/>
    </row>
    <row r="126" spans="2:13" x14ac:dyDescent="0.25">
      <c r="B126" s="418"/>
      <c r="D126" s="56" t="s">
        <v>510</v>
      </c>
      <c r="M126" s="471"/>
    </row>
    <row r="127" spans="2:13" x14ac:dyDescent="0.25">
      <c r="B127" s="418"/>
      <c r="D127" s="56" t="s">
        <v>511</v>
      </c>
      <c r="M127" s="471"/>
    </row>
    <row r="128" spans="2:13" x14ac:dyDescent="0.25">
      <c r="B128" s="418"/>
      <c r="D128" s="56" t="s">
        <v>512</v>
      </c>
      <c r="M128" s="471"/>
    </row>
    <row r="129" spans="2:13" x14ac:dyDescent="0.25">
      <c r="B129" s="418"/>
      <c r="D129" s="56"/>
      <c r="M129" s="471"/>
    </row>
    <row r="130" spans="2:13" x14ac:dyDescent="0.25">
      <c r="B130" s="418"/>
      <c r="M130" s="471"/>
    </row>
    <row r="131" spans="2:13" x14ac:dyDescent="0.25">
      <c r="B131" s="418"/>
      <c r="C131" s="56" t="s">
        <v>513</v>
      </c>
      <c r="M131" s="471"/>
    </row>
    <row r="132" spans="2:13" x14ac:dyDescent="0.25">
      <c r="B132" s="418"/>
      <c r="C132" s="56" t="s">
        <v>514</v>
      </c>
      <c r="M132" s="471"/>
    </row>
    <row r="133" spans="2:13" x14ac:dyDescent="0.25">
      <c r="B133" s="418"/>
      <c r="M133" s="471"/>
    </row>
    <row r="134" spans="2:13" x14ac:dyDescent="0.25">
      <c r="B134" s="418"/>
      <c r="C134" s="432" t="s">
        <v>515</v>
      </c>
      <c r="M134" s="471"/>
    </row>
    <row r="135" spans="2:13" x14ac:dyDescent="0.25">
      <c r="B135" s="472"/>
      <c r="C135" s="473"/>
      <c r="D135" s="473"/>
      <c r="E135" s="473"/>
      <c r="F135" s="473"/>
      <c r="G135" s="473"/>
      <c r="H135" s="473"/>
      <c r="I135" s="473"/>
      <c r="J135" s="473"/>
      <c r="K135" s="473"/>
      <c r="L135" s="473"/>
      <c r="M135" s="474"/>
    </row>
    <row r="137" spans="2:13" x14ac:dyDescent="0.25">
      <c r="B137" s="56" t="s">
        <v>782</v>
      </c>
    </row>
    <row r="138" spans="2:13" x14ac:dyDescent="0.25">
      <c r="B138" s="56" t="s">
        <v>516</v>
      </c>
    </row>
    <row r="140" spans="2:13" x14ac:dyDescent="0.25">
      <c r="B140" s="56" t="s">
        <v>517</v>
      </c>
      <c r="C140" s="56"/>
      <c r="D140" s="56"/>
      <c r="E140" s="56"/>
      <c r="F140" s="56"/>
      <c r="G140" s="56"/>
      <c r="H140" s="56"/>
      <c r="I140" s="56"/>
      <c r="J140" s="56"/>
      <c r="K140" s="56"/>
      <c r="L140" s="56"/>
      <c r="M140" s="56"/>
    </row>
    <row r="141" spans="2:13" x14ac:dyDescent="0.25">
      <c r="B141" s="56"/>
      <c r="C141" s="56"/>
      <c r="D141" s="56"/>
      <c r="E141" s="56"/>
      <c r="F141" s="56"/>
      <c r="G141" s="56"/>
      <c r="H141" s="56"/>
      <c r="I141" s="56"/>
      <c r="J141" s="56"/>
      <c r="K141" s="56"/>
      <c r="L141" s="56"/>
      <c r="M141" s="56"/>
    </row>
    <row r="142" spans="2:13" x14ac:dyDescent="0.25">
      <c r="B142" s="56"/>
      <c r="C142" s="432" t="s">
        <v>518</v>
      </c>
      <c r="D142" s="56"/>
      <c r="E142" s="56"/>
      <c r="F142" s="56"/>
      <c r="G142" s="56"/>
      <c r="H142" s="56"/>
      <c r="I142" s="56"/>
      <c r="J142" s="56"/>
      <c r="K142" s="56"/>
      <c r="L142" s="56"/>
      <c r="M142" s="56"/>
    </row>
    <row r="143" spans="2:13" x14ac:dyDescent="0.25">
      <c r="B143" s="56"/>
      <c r="C143" s="56"/>
      <c r="D143" s="56"/>
      <c r="E143" s="56"/>
      <c r="F143" s="56"/>
      <c r="G143" s="56"/>
      <c r="H143" s="56"/>
      <c r="I143" s="56"/>
      <c r="J143" s="56"/>
      <c r="K143" s="56"/>
      <c r="L143" s="56"/>
      <c r="M143" s="56"/>
    </row>
    <row r="144" spans="2:13" x14ac:dyDescent="0.25">
      <c r="B144" s="56"/>
      <c r="C144" s="56"/>
      <c r="D144" s="56" t="s">
        <v>519</v>
      </c>
      <c r="E144" s="56"/>
      <c r="F144" s="56"/>
      <c r="G144" s="56"/>
      <c r="H144" s="56"/>
      <c r="I144" s="56"/>
      <c r="J144" s="56"/>
      <c r="K144" s="56"/>
      <c r="L144" s="56"/>
      <c r="M144" s="56"/>
    </row>
    <row r="145" spans="2:15" x14ac:dyDescent="0.25">
      <c r="B145" s="56"/>
      <c r="C145" s="56"/>
      <c r="D145" s="56"/>
      <c r="E145" s="56"/>
      <c r="F145" s="56"/>
      <c r="G145" s="56"/>
      <c r="H145" s="56"/>
      <c r="I145" s="56"/>
      <c r="J145" s="56"/>
      <c r="K145" s="56"/>
      <c r="L145" s="56"/>
      <c r="M145" s="56"/>
    </row>
    <row r="146" spans="2:15" x14ac:dyDescent="0.25">
      <c r="B146" s="56"/>
      <c r="C146" s="56"/>
      <c r="D146" s="56"/>
      <c r="E146" s="56" t="s">
        <v>520</v>
      </c>
      <c r="F146" s="56"/>
      <c r="G146" s="56"/>
      <c r="H146" s="56"/>
      <c r="I146" s="56"/>
      <c r="J146" s="56"/>
      <c r="K146" s="56"/>
      <c r="L146" s="56"/>
      <c r="M146" s="56"/>
    </row>
    <row r="147" spans="2:15" x14ac:dyDescent="0.25">
      <c r="B147" s="56"/>
      <c r="C147" s="56"/>
      <c r="D147" s="56"/>
      <c r="E147" s="56"/>
      <c r="F147" s="56"/>
      <c r="G147" s="56"/>
      <c r="H147" s="56"/>
      <c r="I147" s="56"/>
      <c r="J147" s="56"/>
      <c r="K147" s="56"/>
      <c r="L147" s="56"/>
      <c r="M147" s="56"/>
    </row>
    <row r="148" spans="2:15" x14ac:dyDescent="0.25">
      <c r="B148" s="56"/>
      <c r="C148" s="56"/>
      <c r="D148" s="56"/>
      <c r="E148" s="56"/>
      <c r="F148" s="56" t="s">
        <v>521</v>
      </c>
      <c r="G148" s="56"/>
      <c r="H148" s="56"/>
      <c r="I148" s="56"/>
      <c r="J148" s="56"/>
      <c r="K148" s="56"/>
      <c r="L148" s="56"/>
      <c r="M148" s="56"/>
    </row>
    <row r="149" spans="2:15" x14ac:dyDescent="0.25">
      <c r="B149" s="56"/>
      <c r="C149" s="56"/>
      <c r="D149" s="56"/>
      <c r="E149" s="56"/>
      <c r="F149" s="56"/>
      <c r="G149" s="56"/>
      <c r="H149" s="56"/>
      <c r="I149" s="56"/>
      <c r="J149" s="56"/>
      <c r="K149" s="56"/>
      <c r="L149" s="56"/>
      <c r="M149" s="56"/>
    </row>
    <row r="150" spans="2:15" x14ac:dyDescent="0.25">
      <c r="G150" s="56" t="s">
        <v>522</v>
      </c>
    </row>
    <row r="151" spans="2:15" x14ac:dyDescent="0.25">
      <c r="G151" s="56" t="s">
        <v>523</v>
      </c>
    </row>
    <row r="152" spans="2:15" x14ac:dyDescent="0.25">
      <c r="G152" s="56" t="s">
        <v>524</v>
      </c>
    </row>
    <row r="153" spans="2:15" x14ac:dyDescent="0.25">
      <c r="G153" s="56" t="s">
        <v>525</v>
      </c>
    </row>
    <row r="154" spans="2:15" x14ac:dyDescent="0.25">
      <c r="G154" s="56" t="s">
        <v>444</v>
      </c>
    </row>
    <row r="156" spans="2:15" x14ac:dyDescent="0.25">
      <c r="D156" s="56" t="s">
        <v>526</v>
      </c>
    </row>
    <row r="158" spans="2:15" x14ac:dyDescent="0.25">
      <c r="D158" s="56" t="s">
        <v>527</v>
      </c>
    </row>
    <row r="159" spans="2:15" x14ac:dyDescent="0.25">
      <c r="D159" s="56"/>
    </row>
    <row r="160" spans="2:15" x14ac:dyDescent="0.25">
      <c r="D160" s="56"/>
      <c r="E160" s="56" t="s">
        <v>528</v>
      </c>
      <c r="F160" s="56"/>
      <c r="G160" s="56"/>
      <c r="H160" s="56"/>
      <c r="I160" s="56"/>
      <c r="J160" s="56"/>
      <c r="K160" s="56"/>
      <c r="L160" s="56"/>
      <c r="M160" s="56"/>
      <c r="N160" s="56"/>
      <c r="O160" s="56"/>
    </row>
    <row r="161" spans="3:15" x14ac:dyDescent="0.25">
      <c r="D161" s="56"/>
      <c r="E161" s="56" t="s">
        <v>529</v>
      </c>
      <c r="G161" s="56"/>
      <c r="H161" s="56"/>
      <c r="I161" s="56"/>
      <c r="J161" s="56"/>
      <c r="K161" s="56"/>
      <c r="L161" s="56"/>
      <c r="M161" s="56"/>
      <c r="N161" s="56"/>
      <c r="O161" s="56"/>
    </row>
    <row r="163" spans="3:15" x14ac:dyDescent="0.25">
      <c r="D163" s="56" t="s">
        <v>530</v>
      </c>
      <c r="H163" s="56"/>
    </row>
    <row r="165" spans="3:15" x14ac:dyDescent="0.25">
      <c r="D165" s="56" t="s">
        <v>531</v>
      </c>
      <c r="E165" s="56"/>
      <c r="F165" s="56"/>
      <c r="G165" s="56"/>
      <c r="H165" s="56"/>
    </row>
    <row r="166" spans="3:15" x14ac:dyDescent="0.25">
      <c r="D166" s="56"/>
      <c r="E166" s="56"/>
      <c r="F166" s="56"/>
      <c r="G166" s="56"/>
      <c r="H166" s="56"/>
    </row>
    <row r="167" spans="3:15" x14ac:dyDescent="0.25">
      <c r="D167" s="56" t="s">
        <v>532</v>
      </c>
      <c r="E167" s="56"/>
      <c r="F167" s="56"/>
      <c r="G167" s="56"/>
      <c r="H167" s="56"/>
    </row>
    <row r="168" spans="3:15" x14ac:dyDescent="0.25">
      <c r="D168" s="56"/>
      <c r="E168" s="56"/>
      <c r="F168" s="56"/>
      <c r="G168" s="56"/>
      <c r="H168" s="56"/>
    </row>
    <row r="169" spans="3:15" x14ac:dyDescent="0.25">
      <c r="D169" s="56"/>
      <c r="E169" s="56"/>
      <c r="F169" s="56" t="s">
        <v>533</v>
      </c>
      <c r="G169" s="56"/>
      <c r="H169" s="56"/>
    </row>
    <row r="170" spans="3:15" x14ac:dyDescent="0.25">
      <c r="D170" s="56"/>
      <c r="E170" s="56"/>
      <c r="F170" s="56" t="s">
        <v>534</v>
      </c>
      <c r="G170" s="56"/>
      <c r="H170" s="56"/>
    </row>
    <row r="171" spans="3:15" x14ac:dyDescent="0.25">
      <c r="D171" s="56"/>
      <c r="E171" s="56"/>
      <c r="F171" s="56"/>
      <c r="G171" s="56" t="s">
        <v>535</v>
      </c>
      <c r="H171" s="56"/>
    </row>
    <row r="172" spans="3:15" x14ac:dyDescent="0.25">
      <c r="D172" s="56"/>
      <c r="E172" s="56"/>
      <c r="F172" s="56" t="s">
        <v>536</v>
      </c>
      <c r="G172" s="56"/>
      <c r="H172" s="56"/>
    </row>
    <row r="173" spans="3:15" x14ac:dyDescent="0.25">
      <c r="D173" s="56"/>
      <c r="E173" s="56"/>
      <c r="F173" s="56" t="s">
        <v>537</v>
      </c>
      <c r="G173" s="56"/>
      <c r="H173" s="56"/>
    </row>
    <row r="174" spans="3:15" x14ac:dyDescent="0.25">
      <c r="D174" s="56"/>
      <c r="E174" s="56"/>
      <c r="F174" s="56" t="s">
        <v>538</v>
      </c>
      <c r="G174" s="56"/>
      <c r="H174" s="56"/>
    </row>
    <row r="176" spans="3:15" x14ac:dyDescent="0.25">
      <c r="C176" s="56" t="s">
        <v>539</v>
      </c>
    </row>
    <row r="178" spans="3:8" x14ac:dyDescent="0.25">
      <c r="E178" s="56" t="s">
        <v>533</v>
      </c>
    </row>
    <row r="179" spans="3:8" x14ac:dyDescent="0.25">
      <c r="E179" t="s">
        <v>540</v>
      </c>
    </row>
    <row r="181" spans="3:8" x14ac:dyDescent="0.25">
      <c r="C181" s="432" t="s">
        <v>541</v>
      </c>
      <c r="D181" s="56"/>
      <c r="E181" s="56"/>
      <c r="F181" s="56"/>
      <c r="G181" s="56"/>
      <c r="H181" s="56"/>
    </row>
    <row r="182" spans="3:8" x14ac:dyDescent="0.25">
      <c r="C182" s="56"/>
      <c r="D182" s="56"/>
      <c r="E182" s="56"/>
      <c r="F182" s="56"/>
      <c r="G182" s="56"/>
      <c r="H182" s="56"/>
    </row>
    <row r="183" spans="3:8" x14ac:dyDescent="0.25">
      <c r="C183" s="56"/>
      <c r="D183" s="56" t="s">
        <v>783</v>
      </c>
      <c r="E183" s="56"/>
      <c r="F183" s="56"/>
      <c r="G183" s="56"/>
      <c r="H183" s="56"/>
    </row>
    <row r="184" spans="3:8" x14ac:dyDescent="0.25">
      <c r="C184" s="56"/>
      <c r="D184" s="56"/>
      <c r="E184" s="56"/>
      <c r="F184" s="56"/>
      <c r="G184" s="56"/>
      <c r="H184" s="56"/>
    </row>
    <row r="185" spans="3:8" x14ac:dyDescent="0.25">
      <c r="C185" s="56"/>
      <c r="D185" s="56"/>
      <c r="E185" s="56" t="s">
        <v>542</v>
      </c>
      <c r="F185" s="56"/>
      <c r="G185" s="56"/>
      <c r="H185" s="56"/>
    </row>
    <row r="186" spans="3:8" x14ac:dyDescent="0.25">
      <c r="C186" s="56"/>
      <c r="D186" s="56"/>
      <c r="E186" s="56"/>
      <c r="F186" s="56"/>
      <c r="G186" s="56"/>
      <c r="H186" s="56"/>
    </row>
    <row r="187" spans="3:8" x14ac:dyDescent="0.25">
      <c r="D187" s="56" t="s">
        <v>632</v>
      </c>
      <c r="E187" s="56"/>
      <c r="F187" s="56"/>
      <c r="G187" s="56"/>
      <c r="H187" s="56"/>
    </row>
    <row r="188" spans="3:8" x14ac:dyDescent="0.25">
      <c r="D188" s="56"/>
      <c r="E188" s="56"/>
      <c r="F188" s="56"/>
      <c r="G188" s="56"/>
      <c r="H188" s="56"/>
    </row>
    <row r="189" spans="3:8" x14ac:dyDescent="0.25">
      <c r="D189" s="56"/>
      <c r="E189" s="56" t="s">
        <v>543</v>
      </c>
      <c r="F189" s="56"/>
      <c r="G189" s="56"/>
      <c r="H189" s="56"/>
    </row>
    <row r="190" spans="3:8" x14ac:dyDescent="0.25">
      <c r="D190" s="56"/>
      <c r="E190" s="56"/>
      <c r="F190" s="56"/>
      <c r="G190" s="56"/>
      <c r="H190" s="56"/>
    </row>
    <row r="191" spans="3:8" x14ac:dyDescent="0.25">
      <c r="D191" s="56"/>
      <c r="E191" s="56" t="s">
        <v>544</v>
      </c>
      <c r="F191" s="56"/>
      <c r="G191" s="56"/>
      <c r="H191" s="56"/>
    </row>
    <row r="192" spans="3:8" x14ac:dyDescent="0.25">
      <c r="D192" s="56"/>
      <c r="E192" s="56"/>
      <c r="F192" s="56"/>
      <c r="G192" s="56"/>
      <c r="H192" s="56"/>
    </row>
    <row r="193" spans="2:10" x14ac:dyDescent="0.25">
      <c r="D193" s="56"/>
      <c r="E193" s="56" t="s">
        <v>545</v>
      </c>
      <c r="F193" s="56"/>
      <c r="G193" s="56"/>
      <c r="H193" s="56"/>
      <c r="I193" s="56"/>
      <c r="J193" s="56"/>
    </row>
    <row r="194" spans="2:10" x14ac:dyDescent="0.25">
      <c r="D194" s="56"/>
      <c r="E194" s="56"/>
      <c r="F194" s="56"/>
      <c r="G194" s="56"/>
      <c r="H194" s="56"/>
      <c r="I194" s="56"/>
      <c r="J194" s="56"/>
    </row>
    <row r="195" spans="2:10" x14ac:dyDescent="0.25">
      <c r="D195" s="56"/>
      <c r="E195" s="56"/>
      <c r="F195" s="56"/>
      <c r="G195" s="56" t="s">
        <v>386</v>
      </c>
      <c r="H195" s="56"/>
      <c r="I195" s="56"/>
      <c r="J195" s="56"/>
    </row>
    <row r="196" spans="2:10" x14ac:dyDescent="0.25">
      <c r="D196" s="56"/>
      <c r="E196" s="56"/>
      <c r="F196" s="56"/>
      <c r="G196" s="56" t="s">
        <v>546</v>
      </c>
      <c r="H196" s="56"/>
      <c r="I196" s="56"/>
      <c r="J196" s="56"/>
    </row>
    <row r="197" spans="2:10" x14ac:dyDescent="0.25">
      <c r="D197" s="56"/>
      <c r="E197" s="56"/>
      <c r="F197" s="56"/>
      <c r="G197" s="56"/>
      <c r="H197" s="56"/>
      <c r="I197" s="56"/>
      <c r="J197" s="56"/>
    </row>
    <row r="198" spans="2:10" x14ac:dyDescent="0.25">
      <c r="D198" s="56"/>
      <c r="E198" s="56"/>
      <c r="F198" s="56" t="s">
        <v>547</v>
      </c>
      <c r="G198" s="56"/>
      <c r="H198" s="56"/>
      <c r="I198" s="56"/>
      <c r="J198" s="56"/>
    </row>
    <row r="199" spans="2:10" x14ac:dyDescent="0.25">
      <c r="D199" s="56"/>
      <c r="E199" s="56"/>
      <c r="F199" s="56"/>
      <c r="G199" s="56"/>
      <c r="H199" s="56"/>
      <c r="I199" s="56"/>
      <c r="J199" s="56"/>
    </row>
    <row r="200" spans="2:10" x14ac:dyDescent="0.25">
      <c r="D200" s="56" t="s">
        <v>548</v>
      </c>
      <c r="E200" s="56"/>
      <c r="F200" s="56"/>
      <c r="G200" s="56"/>
      <c r="H200" s="56"/>
      <c r="I200" s="56"/>
      <c r="J200" s="56"/>
    </row>
    <row r="201" spans="2:10" x14ac:dyDescent="0.25">
      <c r="D201" s="56"/>
      <c r="E201" s="56"/>
      <c r="F201" s="56"/>
      <c r="G201" s="56"/>
      <c r="H201" s="56"/>
      <c r="I201" s="56"/>
      <c r="J201" s="56"/>
    </row>
    <row r="202" spans="2:10" x14ac:dyDescent="0.25">
      <c r="B202" s="56"/>
      <c r="C202" s="56" t="s">
        <v>549</v>
      </c>
      <c r="D202" s="56"/>
      <c r="E202" s="56"/>
      <c r="F202" s="56"/>
      <c r="G202" s="56"/>
      <c r="H202" s="56"/>
      <c r="I202" s="56"/>
      <c r="J202" s="56"/>
    </row>
    <row r="203" spans="2:10" x14ac:dyDescent="0.25">
      <c r="B203" s="56"/>
      <c r="C203" s="56"/>
      <c r="D203" s="56"/>
      <c r="E203" s="56"/>
    </row>
    <row r="204" spans="2:10" x14ac:dyDescent="0.25">
      <c r="B204" s="56"/>
      <c r="C204" s="56"/>
      <c r="D204" s="56" t="s">
        <v>550</v>
      </c>
      <c r="E204" s="56"/>
    </row>
    <row r="206" spans="2:10" x14ac:dyDescent="0.25">
      <c r="E206" s="465" t="s">
        <v>551</v>
      </c>
      <c r="F206" s="56"/>
    </row>
    <row r="207" spans="2:10" x14ac:dyDescent="0.25">
      <c r="E207" s="56" t="s">
        <v>552</v>
      </c>
    </row>
    <row r="209" spans="3:9" x14ac:dyDescent="0.25">
      <c r="D209" s="56" t="s">
        <v>553</v>
      </c>
      <c r="E209" s="56"/>
      <c r="F209" s="56"/>
      <c r="G209" s="56"/>
      <c r="H209" s="56"/>
      <c r="I209" s="56"/>
    </row>
    <row r="210" spans="3:9" x14ac:dyDescent="0.25">
      <c r="D210" s="56"/>
      <c r="E210" s="56"/>
      <c r="F210" s="56"/>
      <c r="G210" s="56"/>
      <c r="H210" s="56"/>
      <c r="I210" s="56"/>
    </row>
    <row r="211" spans="3:9" x14ac:dyDescent="0.25">
      <c r="D211" s="56" t="s">
        <v>554</v>
      </c>
      <c r="E211" s="56"/>
      <c r="F211" s="56"/>
      <c r="G211" s="56"/>
      <c r="H211" s="56"/>
      <c r="I211" s="56"/>
    </row>
    <row r="212" spans="3:9" x14ac:dyDescent="0.25">
      <c r="D212" s="56"/>
      <c r="E212" s="56"/>
      <c r="F212" s="56"/>
      <c r="G212" s="56"/>
      <c r="H212" s="56"/>
      <c r="I212" s="56"/>
    </row>
    <row r="213" spans="3:9" x14ac:dyDescent="0.25">
      <c r="D213" s="56"/>
      <c r="E213" s="465" t="s">
        <v>555</v>
      </c>
      <c r="F213" s="56"/>
      <c r="G213" s="56"/>
      <c r="H213" s="56"/>
      <c r="I213" s="56"/>
    </row>
    <row r="214" spans="3:9" x14ac:dyDescent="0.25">
      <c r="D214" s="56"/>
      <c r="E214" s="56" t="s">
        <v>556</v>
      </c>
      <c r="F214" s="56"/>
      <c r="G214" s="56"/>
      <c r="H214" s="56"/>
      <c r="I214" s="56"/>
    </row>
    <row r="216" spans="3:9" x14ac:dyDescent="0.25">
      <c r="E216" s="465" t="s">
        <v>557</v>
      </c>
    </row>
    <row r="217" spans="3:9" x14ac:dyDescent="0.25">
      <c r="E217" s="56" t="s">
        <v>558</v>
      </c>
    </row>
    <row r="219" spans="3:9" x14ac:dyDescent="0.25">
      <c r="E219" s="465" t="s">
        <v>559</v>
      </c>
    </row>
    <row r="221" spans="3:9" x14ac:dyDescent="0.25">
      <c r="E221" s="56" t="s">
        <v>560</v>
      </c>
    </row>
    <row r="224" spans="3:9" x14ac:dyDescent="0.25">
      <c r="C224" s="56" t="s">
        <v>561</v>
      </c>
      <c r="D224" s="56"/>
      <c r="E224" s="56"/>
      <c r="F224" s="56"/>
      <c r="G224" s="56"/>
    </row>
    <row r="225" spans="2:7" x14ac:dyDescent="0.25">
      <c r="C225" s="56"/>
      <c r="D225" s="56"/>
      <c r="E225" s="56"/>
      <c r="F225" s="56"/>
      <c r="G225" s="56"/>
    </row>
    <row r="226" spans="2:7" x14ac:dyDescent="0.25">
      <c r="C226" s="56"/>
      <c r="D226" s="56"/>
      <c r="E226" s="56" t="s">
        <v>562</v>
      </c>
      <c r="F226" s="56"/>
      <c r="G226" s="56"/>
    </row>
    <row r="227" spans="2:7" x14ac:dyDescent="0.25">
      <c r="C227" s="56"/>
      <c r="D227" s="56"/>
      <c r="E227" s="56"/>
      <c r="F227" s="56"/>
      <c r="G227" s="56"/>
    </row>
    <row r="228" spans="2:7" x14ac:dyDescent="0.25">
      <c r="C228" s="56"/>
      <c r="D228" s="56" t="s">
        <v>563</v>
      </c>
      <c r="G228" s="56"/>
    </row>
    <row r="229" spans="2:7" x14ac:dyDescent="0.25">
      <c r="C229" s="56"/>
      <c r="D229" s="56" t="s">
        <v>564</v>
      </c>
      <c r="G229" s="56"/>
    </row>
    <row r="230" spans="2:7" x14ac:dyDescent="0.25">
      <c r="C230" s="56"/>
      <c r="D230" s="56"/>
      <c r="E230" s="56" t="s">
        <v>565</v>
      </c>
      <c r="G230" s="56"/>
    </row>
    <row r="231" spans="2:7" x14ac:dyDescent="0.25">
      <c r="E231" s="56" t="s">
        <v>566</v>
      </c>
    </row>
    <row r="232" spans="2:7" x14ac:dyDescent="0.25">
      <c r="E232" t="s">
        <v>635</v>
      </c>
    </row>
    <row r="233" spans="2:7" x14ac:dyDescent="0.25">
      <c r="B233" s="56" t="s">
        <v>567</v>
      </c>
    </row>
    <row r="234" spans="2:7" x14ac:dyDescent="0.25">
      <c r="B234" s="56" t="s">
        <v>568</v>
      </c>
      <c r="C234" s="56"/>
    </row>
    <row r="235" spans="2:7" x14ac:dyDescent="0.25">
      <c r="C235" s="56"/>
    </row>
    <row r="236" spans="2:7" x14ac:dyDescent="0.25">
      <c r="B236" s="465" t="s">
        <v>569</v>
      </c>
    </row>
    <row r="237" spans="2:7" x14ac:dyDescent="0.25">
      <c r="B237" s="56" t="s">
        <v>570</v>
      </c>
    </row>
    <row r="238" spans="2:7" x14ac:dyDescent="0.25">
      <c r="B238" s="56" t="s">
        <v>571</v>
      </c>
    </row>
    <row r="239" spans="2:7" x14ac:dyDescent="0.25">
      <c r="B239" s="56" t="s">
        <v>572</v>
      </c>
    </row>
    <row r="240" spans="2:7" x14ac:dyDescent="0.25">
      <c r="B240" s="56" t="s">
        <v>573</v>
      </c>
    </row>
    <row r="241" spans="2:14" x14ac:dyDescent="0.25">
      <c r="B241" s="56"/>
    </row>
    <row r="242" spans="2:14" x14ac:dyDescent="0.25">
      <c r="B242" s="495" t="s">
        <v>634</v>
      </c>
      <c r="C242" s="494"/>
      <c r="D242" s="494"/>
      <c r="E242" s="494"/>
      <c r="F242" s="494"/>
      <c r="G242" s="494"/>
      <c r="H242" s="494"/>
      <c r="I242" s="494"/>
      <c r="J242" s="494"/>
      <c r="K242" s="494"/>
      <c r="L242" s="494"/>
      <c r="M242" s="494"/>
      <c r="N242" s="494"/>
    </row>
    <row r="243" spans="2:14" x14ac:dyDescent="0.25">
      <c r="B243" s="495" t="s">
        <v>633</v>
      </c>
      <c r="C243" s="494"/>
      <c r="D243" s="494"/>
      <c r="E243" s="494"/>
      <c r="F243" s="494"/>
      <c r="G243" s="494"/>
      <c r="H243" s="494"/>
      <c r="I243" s="494"/>
      <c r="J243" s="494"/>
      <c r="K243" s="494"/>
      <c r="L243" s="494"/>
      <c r="M243" s="494"/>
      <c r="N243" s="494"/>
    </row>
    <row r="245" spans="2:14" x14ac:dyDescent="0.25">
      <c r="B245" t="s">
        <v>638</v>
      </c>
    </row>
  </sheetData>
  <mergeCells count="10">
    <mergeCell ref="B28:C36"/>
    <mergeCell ref="E28:F36"/>
    <mergeCell ref="H28:I36"/>
    <mergeCell ref="K28:L36"/>
    <mergeCell ref="J1:P1"/>
    <mergeCell ref="B7:C15"/>
    <mergeCell ref="I7:J15"/>
    <mergeCell ref="E26:F26"/>
    <mergeCell ref="H26:I26"/>
    <mergeCell ref="K26:L26"/>
  </mergeCells>
  <phoneticPr fontId="68"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1"/>
  <sheetViews>
    <sheetView topLeftCell="A88" zoomScale="140" zoomScaleNormal="140" workbookViewId="0">
      <selection activeCell="F80" sqref="F80"/>
    </sheetView>
  </sheetViews>
  <sheetFormatPr baseColWidth="10" defaultColWidth="11.42578125" defaultRowHeight="16.5" x14ac:dyDescent="0.3"/>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798" t="s">
        <v>388</v>
      </c>
      <c r="B1" s="798"/>
      <c r="C1" s="798"/>
      <c r="D1" s="798"/>
      <c r="E1" s="798"/>
      <c r="F1" s="798"/>
      <c r="G1" s="798"/>
      <c r="H1" s="799"/>
      <c r="I1" s="799"/>
      <c r="J1" s="799"/>
    </row>
    <row r="2" spans="1:10" ht="15.75" customHeight="1" x14ac:dyDescent="0.3">
      <c r="A2" s="800" t="s">
        <v>0</v>
      </c>
      <c r="B2" s="801"/>
      <c r="C2" s="801"/>
      <c r="D2" s="802"/>
      <c r="E2" s="295"/>
      <c r="F2" s="803" t="s">
        <v>1</v>
      </c>
      <c r="G2" s="804"/>
      <c r="H2" s="804"/>
      <c r="I2" s="804"/>
      <c r="J2" s="805"/>
    </row>
    <row r="3" spans="1:10" ht="15.75" customHeight="1" x14ac:dyDescent="0.3">
      <c r="A3" s="296" t="s">
        <v>2</v>
      </c>
      <c r="B3" s="806" t="str">
        <f>'MASQUE DE SAISIE '!G4</f>
        <v xml:space="preserve">ATGR </v>
      </c>
      <c r="C3" s="807"/>
      <c r="D3" s="808"/>
      <c r="E3" s="297"/>
      <c r="F3" s="298" t="s">
        <v>2</v>
      </c>
      <c r="G3" s="793" t="str">
        <f>'MASQUE DE SAISIE '!E26</f>
        <v xml:space="preserve">MARTINO </v>
      </c>
      <c r="H3" s="793"/>
      <c r="I3" s="793"/>
      <c r="J3" s="793"/>
    </row>
    <row r="4" spans="1:10" ht="15.75" customHeight="1" x14ac:dyDescent="0.3">
      <c r="A4" s="296" t="s">
        <v>3</v>
      </c>
      <c r="B4" s="806" t="str">
        <f>'MASQUE DE SAISIE '!G5</f>
        <v xml:space="preserve">3 Rue Paul Vaillant Couturier 92300 Levallois-Perret </v>
      </c>
      <c r="C4" s="807"/>
      <c r="D4" s="808"/>
      <c r="E4" s="297"/>
      <c r="F4" s="298" t="s">
        <v>4</v>
      </c>
      <c r="G4" s="793" t="str">
        <f>'MASQUE DE SAISIE '!E27</f>
        <v xml:space="preserve">Hervé </v>
      </c>
      <c r="H4" s="793"/>
      <c r="I4" s="793"/>
      <c r="J4" s="793"/>
    </row>
    <row r="5" spans="1:10" ht="15.75" customHeight="1" x14ac:dyDescent="0.3">
      <c r="A5" s="296"/>
      <c r="B5" s="790"/>
      <c r="C5" s="791"/>
      <c r="D5" s="792"/>
      <c r="E5" s="297"/>
      <c r="F5" s="298" t="s">
        <v>5</v>
      </c>
      <c r="G5" s="793" t="str">
        <f>'MASQUE DE SAISIE '!E29</f>
        <v>Responsable  Paie</v>
      </c>
      <c r="H5" s="793"/>
      <c r="I5" s="793"/>
      <c r="J5" s="793"/>
    </row>
    <row r="6" spans="1:10" ht="15.75" customHeight="1" x14ac:dyDescent="0.3">
      <c r="A6" s="296" t="s">
        <v>6</v>
      </c>
      <c r="B6" s="794">
        <f>'MASQUE DE SAISIE '!G6</f>
        <v>34464426500029</v>
      </c>
      <c r="C6" s="795"/>
      <c r="D6" s="796"/>
      <c r="E6" s="299"/>
      <c r="F6" s="298" t="s">
        <v>7</v>
      </c>
      <c r="G6" s="793">
        <f>'MASQUE DE SAISIE '!E30</f>
        <v>250</v>
      </c>
      <c r="H6" s="793"/>
      <c r="I6" s="793"/>
      <c r="J6" s="793"/>
    </row>
    <row r="7" spans="1:10" ht="15.75" customHeight="1" x14ac:dyDescent="0.3">
      <c r="A7" s="296" t="s">
        <v>8</v>
      </c>
      <c r="B7" s="790" t="str">
        <f>'MASQUE DE SAISIE '!G7</f>
        <v xml:space="preserve">7111C </v>
      </c>
      <c r="C7" s="791"/>
      <c r="D7" s="792"/>
      <c r="E7" s="297"/>
      <c r="F7" s="298" t="s">
        <v>9</v>
      </c>
      <c r="G7" s="797" t="str">
        <f>'MASQUE DE SAISIE '!E31</f>
        <v>1.63.11.59.52.55.</v>
      </c>
      <c r="H7" s="797"/>
      <c r="I7" s="797"/>
      <c r="J7" s="797"/>
    </row>
    <row r="8" spans="1:10" ht="15.75" customHeight="1" x14ac:dyDescent="0.3">
      <c r="A8" s="296" t="s">
        <v>10</v>
      </c>
      <c r="B8" s="794"/>
      <c r="C8" s="795"/>
      <c r="D8" s="796"/>
      <c r="E8" s="299"/>
      <c r="F8" s="300" t="s">
        <v>3</v>
      </c>
      <c r="G8" s="793" t="str">
        <f>'MASQUE DE SAISIE '!E28</f>
        <v xml:space="preserve">3 Rue Paul  92700 Colombes </v>
      </c>
      <c r="H8" s="793"/>
      <c r="I8" s="793"/>
      <c r="J8" s="793"/>
    </row>
    <row r="9" spans="1:10" ht="15.75" customHeight="1" x14ac:dyDescent="0.3">
      <c r="A9" s="296" t="s">
        <v>11</v>
      </c>
      <c r="B9" s="455">
        <f>'MASQUE DE SAISIE '!G9</f>
        <v>60</v>
      </c>
      <c r="C9" s="936" t="str">
        <f>IF('MASQUE DE SAISIE '!E34 = "","",'MASQUE DE SAISIE '!E34 )</f>
        <v/>
      </c>
      <c r="D9" s="792"/>
      <c r="E9" s="297"/>
      <c r="F9" s="813" t="s">
        <v>12</v>
      </c>
      <c r="G9" s="814"/>
      <c r="H9" s="302"/>
      <c r="I9" s="303">
        <f>'MASQUE DE SAISIE '!E33</f>
        <v>2</v>
      </c>
      <c r="J9" s="303" t="str">
        <f>'MASQUE DE SAISIE '!E32</f>
        <v>C</v>
      </c>
    </row>
    <row r="10" spans="1:10" ht="15.75" customHeight="1" x14ac:dyDescent="0.3">
      <c r="A10" s="529" t="s">
        <v>13</v>
      </c>
      <c r="B10" s="311">
        <f>'MASQUE DE SAISIE '!E46</f>
        <v>125.58</v>
      </c>
      <c r="C10" s="303" t="s">
        <v>14</v>
      </c>
      <c r="D10" s="409">
        <f>'MASQUE DE SAISIE '!E43</f>
        <v>12.02</v>
      </c>
      <c r="E10" s="297"/>
      <c r="F10" s="790" t="s">
        <v>223</v>
      </c>
      <c r="G10" s="792"/>
      <c r="H10" s="355">
        <f>'MASQUE DE SAISIE '!E38</f>
        <v>46296</v>
      </c>
      <c r="I10" s="307" t="s">
        <v>15</v>
      </c>
      <c r="J10" s="355">
        <f>'MASQUE DE SAISIE '!E39</f>
        <v>46326</v>
      </c>
    </row>
    <row r="11" spans="1:10" ht="30" customHeight="1" x14ac:dyDescent="0.3">
      <c r="A11" s="308"/>
      <c r="B11" s="815" t="s">
        <v>284</v>
      </c>
      <c r="C11" s="816"/>
      <c r="D11" s="817"/>
      <c r="E11" s="309"/>
      <c r="F11" s="308" t="s">
        <v>16</v>
      </c>
      <c r="G11" s="356">
        <f>'MASQUE DE SAISIE '!E39</f>
        <v>46326</v>
      </c>
      <c r="H11" s="61"/>
      <c r="I11" s="61"/>
      <c r="J11" s="357"/>
    </row>
    <row r="12" spans="1:10" ht="9.6" hidden="1" customHeight="1" x14ac:dyDescent="0.3">
      <c r="A12" s="818"/>
      <c r="B12" s="819"/>
      <c r="C12" s="819"/>
      <c r="D12" s="819"/>
      <c r="E12" s="819"/>
      <c r="F12" s="819"/>
      <c r="G12" s="819"/>
      <c r="H12" s="819"/>
      <c r="I12" s="819"/>
      <c r="J12" s="819"/>
    </row>
    <row r="13" spans="1:10" ht="24.75" customHeight="1" x14ac:dyDescent="0.3">
      <c r="A13" s="809" t="s">
        <v>17</v>
      </c>
      <c r="B13" s="810"/>
      <c r="C13" s="810"/>
      <c r="D13" s="810"/>
      <c r="E13" s="810"/>
      <c r="F13" s="811"/>
      <c r="G13" s="311">
        <f>+'MASQUE DE SAISIE '!E42</f>
        <v>151.66999999999999</v>
      </c>
      <c r="H13" s="308" t="s">
        <v>18</v>
      </c>
      <c r="I13" s="312">
        <f>J13/G13</f>
        <v>19.77978505966902</v>
      </c>
      <c r="J13" s="313">
        <f>+'MASQUE DE SAISIE '!E41</f>
        <v>3000</v>
      </c>
    </row>
    <row r="14" spans="1:10" ht="24.75" hidden="1" customHeight="1" x14ac:dyDescent="0.3">
      <c r="A14" s="809" t="s">
        <v>639</v>
      </c>
      <c r="B14" s="810"/>
      <c r="C14" s="810"/>
      <c r="D14" s="810"/>
      <c r="E14" s="810"/>
      <c r="F14" s="811"/>
      <c r="G14" s="308"/>
      <c r="H14" s="308"/>
      <c r="I14" s="312"/>
      <c r="J14" s="313"/>
    </row>
    <row r="15" spans="1:10" ht="24.75" hidden="1" customHeight="1" x14ac:dyDescent="0.3">
      <c r="A15" s="809" t="s">
        <v>383</v>
      </c>
      <c r="B15" s="810"/>
      <c r="C15" s="810"/>
      <c r="D15" s="810"/>
      <c r="E15" s="810"/>
      <c r="F15" s="811"/>
      <c r="G15" s="314"/>
      <c r="H15" s="315"/>
      <c r="I15" s="312"/>
      <c r="J15" s="313"/>
    </row>
    <row r="16" spans="1:10" ht="24.75" hidden="1" customHeight="1" x14ac:dyDescent="0.3">
      <c r="A16" s="809" t="s">
        <v>384</v>
      </c>
      <c r="B16" s="810"/>
      <c r="C16" s="810"/>
      <c r="D16" s="810"/>
      <c r="E16" s="810"/>
      <c r="F16" s="811"/>
      <c r="G16" s="314"/>
      <c r="H16" s="315"/>
      <c r="I16" s="312"/>
      <c r="J16" s="313"/>
    </row>
    <row r="17" spans="1:10" ht="24" customHeight="1" x14ac:dyDescent="0.3">
      <c r="A17" s="809" t="s">
        <v>821</v>
      </c>
      <c r="B17" s="810"/>
      <c r="C17" s="810"/>
      <c r="D17" s="810"/>
      <c r="E17" s="810"/>
      <c r="F17" s="811"/>
      <c r="G17" s="314"/>
      <c r="H17" s="315" t="s">
        <v>18</v>
      </c>
      <c r="I17" s="312"/>
      <c r="J17" s="313">
        <f>'CORRECTION 2026'!E27</f>
        <v>119.55000000000001</v>
      </c>
    </row>
    <row r="18" spans="1:10" ht="16.5" hidden="1" customHeight="1" x14ac:dyDescent="0.3">
      <c r="A18" s="809" t="s">
        <v>225</v>
      </c>
      <c r="B18" s="810"/>
      <c r="C18" s="810"/>
      <c r="D18" s="810"/>
      <c r="E18" s="810"/>
      <c r="F18" s="811"/>
      <c r="G18" s="314"/>
      <c r="H18" s="315" t="s">
        <v>18</v>
      </c>
      <c r="I18" s="312"/>
      <c r="J18" s="313">
        <f>ROUND(G18*I18,2)</f>
        <v>0</v>
      </c>
    </row>
    <row r="19" spans="1:10" ht="25.5" hidden="1" customHeight="1" x14ac:dyDescent="0.3">
      <c r="A19" s="809" t="s">
        <v>226</v>
      </c>
      <c r="B19" s="810"/>
      <c r="C19" s="810"/>
      <c r="D19" s="810"/>
      <c r="E19" s="810"/>
      <c r="F19" s="811"/>
      <c r="G19" s="311"/>
      <c r="H19" s="315" t="s">
        <v>18</v>
      </c>
      <c r="I19" s="312">
        <f>(J13+J17+J14)*1.25/G13</f>
        <v>25.710011867871039</v>
      </c>
      <c r="J19" s="313">
        <f>ROUND(G19*I19,2)</f>
        <v>0</v>
      </c>
    </row>
    <row r="20" spans="1:10" ht="25.5" hidden="1" customHeight="1" x14ac:dyDescent="0.3">
      <c r="A20" s="809" t="s">
        <v>227</v>
      </c>
      <c r="B20" s="810"/>
      <c r="C20" s="810"/>
      <c r="D20" s="810"/>
      <c r="E20" s="810"/>
      <c r="F20" s="811"/>
      <c r="G20" s="314"/>
      <c r="H20" s="315" t="s">
        <v>18</v>
      </c>
      <c r="I20" s="312"/>
      <c r="J20" s="313">
        <f>ROUND(G20*I20,2)</f>
        <v>0</v>
      </c>
    </row>
    <row r="21" spans="1:10" ht="23.25" customHeight="1" x14ac:dyDescent="0.3">
      <c r="A21" s="809" t="s">
        <v>228</v>
      </c>
      <c r="B21" s="810"/>
      <c r="C21" s="810"/>
      <c r="D21" s="810"/>
      <c r="E21" s="810"/>
      <c r="F21" s="811"/>
      <c r="G21" s="429">
        <f>'MASQUE DE SAISIE '!E45</f>
        <v>10</v>
      </c>
      <c r="H21" s="315" t="s">
        <v>18</v>
      </c>
      <c r="I21" s="312">
        <f>ROUND(((J13+J14+J16+J17)*1.25/G13),6)</f>
        <v>25.710011999999999</v>
      </c>
      <c r="J21" s="313">
        <f>ROUND(G21*I21,2)</f>
        <v>257.10000000000002</v>
      </c>
    </row>
    <row r="22" spans="1:10" ht="24.75" hidden="1" customHeight="1" x14ac:dyDescent="0.3">
      <c r="A22" s="809" t="s">
        <v>229</v>
      </c>
      <c r="B22" s="810"/>
      <c r="C22" s="810"/>
      <c r="D22" s="810"/>
      <c r="E22" s="810"/>
      <c r="F22" s="811"/>
      <c r="G22" s="314"/>
      <c r="H22" s="315" t="s">
        <v>20</v>
      </c>
      <c r="I22" s="308"/>
      <c r="J22" s="313"/>
    </row>
    <row r="23" spans="1:10" ht="24.75" customHeight="1" x14ac:dyDescent="0.3">
      <c r="A23" s="809" t="s">
        <v>824</v>
      </c>
      <c r="B23" s="810"/>
      <c r="C23" s="810"/>
      <c r="D23" s="810"/>
      <c r="E23" s="810"/>
      <c r="F23" s="811"/>
      <c r="G23" s="310"/>
      <c r="H23" s="316"/>
      <c r="I23" s="304"/>
      <c r="J23" s="313">
        <f>'CORRECTION 2026'!E15</f>
        <v>-681.81818181818187</v>
      </c>
    </row>
    <row r="24" spans="1:10" ht="24.75" hidden="1" customHeight="1" x14ac:dyDescent="0.3">
      <c r="A24" s="809" t="s">
        <v>21</v>
      </c>
      <c r="B24" s="810"/>
      <c r="C24" s="810"/>
      <c r="D24" s="810"/>
      <c r="E24" s="810"/>
      <c r="F24" s="811"/>
      <c r="G24" s="310"/>
      <c r="H24" s="316"/>
      <c r="I24" s="304"/>
      <c r="J24" s="317"/>
    </row>
    <row r="25" spans="1:10" ht="24.75" hidden="1" customHeight="1" x14ac:dyDescent="0.3">
      <c r="A25" s="809" t="s">
        <v>22</v>
      </c>
      <c r="B25" s="810"/>
      <c r="C25" s="810"/>
      <c r="D25" s="810"/>
      <c r="E25" s="810"/>
      <c r="F25" s="811"/>
      <c r="G25" s="310"/>
      <c r="H25" s="316"/>
      <c r="I25" s="304"/>
      <c r="J25" s="317"/>
    </row>
    <row r="26" spans="1:10" ht="24.75" hidden="1" customHeight="1" x14ac:dyDescent="0.3">
      <c r="A26" s="820" t="s">
        <v>23</v>
      </c>
      <c r="B26" s="821"/>
      <c r="C26" s="821"/>
      <c r="D26" s="821"/>
      <c r="E26" s="821"/>
      <c r="F26" s="822"/>
      <c r="G26" s="310"/>
      <c r="H26" s="316"/>
      <c r="I26" s="304"/>
      <c r="J26" s="317"/>
    </row>
    <row r="27" spans="1:10" ht="24.75" hidden="1" customHeight="1" x14ac:dyDescent="0.3">
      <c r="A27" s="820" t="s">
        <v>24</v>
      </c>
      <c r="B27" s="821"/>
      <c r="C27" s="821"/>
      <c r="D27" s="821"/>
      <c r="E27" s="821"/>
      <c r="F27" s="822"/>
      <c r="G27" s="310"/>
      <c r="H27" s="316"/>
      <c r="I27" s="304"/>
      <c r="J27" s="317"/>
    </row>
    <row r="28" spans="1:10" ht="24.75" hidden="1" customHeight="1" x14ac:dyDescent="0.3">
      <c r="A28" s="820" t="s">
        <v>25</v>
      </c>
      <c r="B28" s="821"/>
      <c r="C28" s="821"/>
      <c r="D28" s="821"/>
      <c r="E28" s="821"/>
      <c r="F28" s="822"/>
      <c r="G28" s="310"/>
      <c r="H28" s="316"/>
      <c r="I28" s="304"/>
      <c r="J28" s="317"/>
    </row>
    <row r="29" spans="1:10" ht="24.75" hidden="1" customHeight="1" x14ac:dyDescent="0.3">
      <c r="A29" s="820" t="s">
        <v>26</v>
      </c>
      <c r="B29" s="821"/>
      <c r="C29" s="821"/>
      <c r="D29" s="821"/>
      <c r="E29" s="821"/>
      <c r="F29" s="822"/>
      <c r="G29" s="310"/>
      <c r="H29" s="316"/>
      <c r="I29" s="304"/>
      <c r="J29" s="317"/>
    </row>
    <row r="30" spans="1:10" ht="24.75" hidden="1" customHeight="1" x14ac:dyDescent="0.3">
      <c r="A30" s="820" t="s">
        <v>27</v>
      </c>
      <c r="B30" s="821"/>
      <c r="C30" s="821"/>
      <c r="D30" s="821"/>
      <c r="E30" s="821"/>
      <c r="F30" s="822"/>
      <c r="G30" s="310"/>
      <c r="H30" s="316"/>
      <c r="I30" s="304"/>
      <c r="J30" s="317"/>
    </row>
    <row r="31" spans="1:10" ht="24.75" hidden="1" customHeight="1" x14ac:dyDescent="0.3">
      <c r="A31" s="820" t="s">
        <v>28</v>
      </c>
      <c r="B31" s="821"/>
      <c r="C31" s="821"/>
      <c r="D31" s="821"/>
      <c r="E31" s="821"/>
      <c r="F31" s="822"/>
      <c r="G31" s="310"/>
      <c r="H31" s="316"/>
      <c r="I31" s="304"/>
      <c r="J31" s="317"/>
    </row>
    <row r="32" spans="1:10" ht="24.75" hidden="1" customHeight="1" x14ac:dyDescent="0.3">
      <c r="A32" s="820"/>
      <c r="B32" s="821"/>
      <c r="C32" s="821"/>
      <c r="D32" s="821"/>
      <c r="E32" s="821"/>
      <c r="F32" s="822"/>
      <c r="G32" s="310"/>
      <c r="H32" s="316"/>
      <c r="I32" s="304"/>
      <c r="J32" s="317"/>
    </row>
    <row r="33" spans="1:10" ht="24.75" customHeight="1" x14ac:dyDescent="0.3">
      <c r="A33" s="827" t="s">
        <v>29</v>
      </c>
      <c r="B33" s="828"/>
      <c r="C33" s="318">
        <f>'MASQUE DE SAISIE '!E44</f>
        <v>3100.65</v>
      </c>
      <c r="D33" s="829" t="s">
        <v>30</v>
      </c>
      <c r="E33" s="830"/>
      <c r="F33" s="830"/>
      <c r="G33" s="830"/>
      <c r="H33" s="830"/>
      <c r="I33" s="831"/>
      <c r="J33" s="430">
        <f>SUM(J13:J32)</f>
        <v>2694.8318181818181</v>
      </c>
    </row>
    <row r="34" spans="1:10" ht="10.15" hidden="1" customHeight="1" x14ac:dyDescent="0.3">
      <c r="A34" s="924"/>
      <c r="B34" s="925"/>
      <c r="C34" s="925"/>
      <c r="D34" s="925"/>
      <c r="E34" s="925"/>
      <c r="F34" s="925"/>
      <c r="G34" s="925"/>
      <c r="H34" s="925"/>
      <c r="I34" s="925"/>
      <c r="J34" s="926"/>
    </row>
    <row r="35" spans="1:10" ht="30" customHeight="1" x14ac:dyDescent="0.3">
      <c r="A35" s="927" t="s">
        <v>278</v>
      </c>
      <c r="B35" s="928"/>
      <c r="C35" s="353" t="s">
        <v>32</v>
      </c>
      <c r="D35" s="354" t="s">
        <v>33</v>
      </c>
      <c r="E35" s="354" t="s">
        <v>34</v>
      </c>
      <c r="F35" s="353" t="s">
        <v>35</v>
      </c>
      <c r="G35" s="353" t="s">
        <v>36</v>
      </c>
      <c r="H35" s="258"/>
    </row>
    <row r="36" spans="1:10" ht="17.45" customHeight="1" x14ac:dyDescent="0.3">
      <c r="A36" s="929" t="s">
        <v>37</v>
      </c>
      <c r="B36" s="930"/>
      <c r="C36" s="932"/>
      <c r="D36" s="933"/>
      <c r="E36" s="933"/>
      <c r="F36" s="933"/>
      <c r="G36" s="934"/>
    </row>
    <row r="37" spans="1:10" ht="19.899999999999999" customHeight="1" x14ac:dyDescent="0.3">
      <c r="A37" s="739" t="s">
        <v>758</v>
      </c>
      <c r="B37" s="843"/>
      <c r="C37" s="319">
        <f>J33</f>
        <v>2694.8318181818181</v>
      </c>
      <c r="D37" s="320"/>
      <c r="E37" s="320">
        <f>VLOOKUP(A37,TAUX2023,4,FALSE)</f>
        <v>0.13</v>
      </c>
      <c r="F37" s="321"/>
      <c r="G37" s="319">
        <f>ROUND(C37*E37,2)</f>
        <v>350.33</v>
      </c>
      <c r="J37" s="216"/>
    </row>
    <row r="38" spans="1:10" ht="20.25" hidden="1" customHeight="1" x14ac:dyDescent="0.3">
      <c r="A38" s="739"/>
      <c r="B38" s="843"/>
      <c r="C38" s="322"/>
      <c r="D38" s="320"/>
      <c r="E38" s="320"/>
      <c r="F38" s="321"/>
      <c r="G38" s="319"/>
      <c r="J38" s="216"/>
    </row>
    <row r="39" spans="1:10" ht="20.25" hidden="1" customHeight="1" x14ac:dyDescent="0.3">
      <c r="A39" s="933"/>
      <c r="B39" s="934"/>
      <c r="C39" s="319"/>
      <c r="D39" s="323"/>
      <c r="E39" s="323"/>
      <c r="F39" s="321">
        <f t="shared" ref="F39:F70" si="0">ROUND(C39*D39,2)</f>
        <v>0</v>
      </c>
      <c r="G39" s="319">
        <f t="shared" ref="G39:G62" si="1">ROUND(C39*E39,2)</f>
        <v>0</v>
      </c>
      <c r="J39" s="42"/>
    </row>
    <row r="40" spans="1:10" ht="20.25" hidden="1" customHeight="1" x14ac:dyDescent="0.3">
      <c r="A40" s="739" t="s">
        <v>239</v>
      </c>
      <c r="B40" s="843"/>
      <c r="C40" s="319">
        <f>IF(I9=1,J33,0)</f>
        <v>0</v>
      </c>
      <c r="D40" s="320">
        <f>'MASQUE DE SAISIE '!G12</f>
        <v>0</v>
      </c>
      <c r="E40" s="320">
        <f>'MASQUE DE SAISIE '!H12</f>
        <v>0</v>
      </c>
      <c r="F40" s="321">
        <f t="shared" si="0"/>
        <v>0</v>
      </c>
      <c r="G40" s="319">
        <f t="shared" si="1"/>
        <v>0</v>
      </c>
      <c r="J40" s="42"/>
    </row>
    <row r="41" spans="1:10" ht="20.25" hidden="1" customHeight="1" x14ac:dyDescent="0.3">
      <c r="A41" s="931"/>
      <c r="B41" s="931"/>
      <c r="C41" s="319"/>
      <c r="D41" s="320"/>
      <c r="E41" s="320"/>
      <c r="F41" s="321">
        <f t="shared" si="0"/>
        <v>0</v>
      </c>
      <c r="G41" s="319">
        <f t="shared" si="1"/>
        <v>0</v>
      </c>
      <c r="J41" s="42"/>
    </row>
    <row r="42" spans="1:10" ht="20.25" hidden="1" customHeight="1" x14ac:dyDescent="0.3">
      <c r="A42" s="931"/>
      <c r="B42" s="931"/>
      <c r="C42" s="323"/>
      <c r="D42" s="323"/>
      <c r="E42" s="323"/>
      <c r="F42" s="321">
        <f t="shared" si="0"/>
        <v>0</v>
      </c>
      <c r="G42" s="319">
        <f t="shared" si="1"/>
        <v>0</v>
      </c>
      <c r="J42" s="42"/>
    </row>
    <row r="43" spans="1:10" ht="20.25" customHeight="1" x14ac:dyDescent="0.3">
      <c r="A43" s="739" t="s">
        <v>192</v>
      </c>
      <c r="B43" s="843"/>
      <c r="C43" s="319">
        <f>IF(I9=2,J33,0)</f>
        <v>2694.8318181818181</v>
      </c>
      <c r="D43" s="320">
        <f>'MASQUE DE SAISIE '!G15</f>
        <v>0.01</v>
      </c>
      <c r="E43" s="320">
        <f>'MASQUE DE SAISIE '!H15</f>
        <v>0.02</v>
      </c>
      <c r="F43" s="321">
        <f t="shared" si="0"/>
        <v>26.95</v>
      </c>
      <c r="G43" s="319">
        <f t="shared" si="1"/>
        <v>53.9</v>
      </c>
      <c r="J43" s="42"/>
    </row>
    <row r="44" spans="1:10" ht="20.25" hidden="1" customHeight="1" x14ac:dyDescent="0.3">
      <c r="A44" s="739" t="s">
        <v>197</v>
      </c>
      <c r="B44" s="843"/>
      <c r="C44" s="319">
        <f>IF(I9=2,IF(E75=0,IF(J33&gt;C33,C33,J33),0),0)</f>
        <v>0</v>
      </c>
      <c r="D44" s="320"/>
      <c r="E44" s="320">
        <f>VLOOKUP(A44,TAUX2023,4,FALSE)</f>
        <v>1.4999999999999999E-2</v>
      </c>
      <c r="F44" s="332">
        <f>ROUND(C44*D44,2)</f>
        <v>0</v>
      </c>
      <c r="G44" s="205">
        <f>ROUND(C44*E44,2)</f>
        <v>0</v>
      </c>
      <c r="J44" s="42"/>
    </row>
    <row r="45" spans="1:10" ht="20.25" hidden="1" customHeight="1" x14ac:dyDescent="0.3">
      <c r="A45" s="739"/>
      <c r="B45" s="843"/>
      <c r="C45" s="500"/>
      <c r="D45" s="228"/>
      <c r="E45" s="228"/>
      <c r="F45" s="500"/>
      <c r="G45" s="500"/>
      <c r="J45" s="42"/>
    </row>
    <row r="46" spans="1:10" ht="20.25" hidden="1" customHeight="1" x14ac:dyDescent="0.3">
      <c r="A46" s="739"/>
      <c r="B46" s="843"/>
      <c r="C46" s="319"/>
      <c r="D46" s="320"/>
      <c r="E46" s="320"/>
      <c r="F46" s="321"/>
      <c r="G46" s="319"/>
      <c r="J46" s="42"/>
    </row>
    <row r="47" spans="1:10" ht="20.25" hidden="1" customHeight="1" x14ac:dyDescent="0.3">
      <c r="A47" s="739"/>
      <c r="B47" s="843"/>
      <c r="C47" s="319"/>
      <c r="D47" s="320"/>
      <c r="E47" s="320"/>
      <c r="F47" s="321">
        <f t="shared" si="0"/>
        <v>0</v>
      </c>
      <c r="G47" s="319">
        <f t="shared" si="1"/>
        <v>0</v>
      </c>
      <c r="J47" s="42"/>
    </row>
    <row r="48" spans="1:10" ht="20.25" hidden="1" customHeight="1" x14ac:dyDescent="0.3">
      <c r="A48" s="739"/>
      <c r="B48" s="843"/>
      <c r="C48" s="319"/>
      <c r="D48" s="323"/>
      <c r="E48" s="323"/>
      <c r="F48" s="321">
        <f t="shared" si="0"/>
        <v>0</v>
      </c>
      <c r="G48" s="319">
        <f t="shared" si="1"/>
        <v>0</v>
      </c>
      <c r="J48" s="42"/>
    </row>
    <row r="49" spans="1:17" ht="23.25" customHeight="1" x14ac:dyDescent="0.3">
      <c r="A49" s="906" t="s">
        <v>38</v>
      </c>
      <c r="B49" s="907"/>
      <c r="C49" s="325">
        <f>J33</f>
        <v>2694.8318181818181</v>
      </c>
      <c r="D49" s="320"/>
      <c r="E49" s="320">
        <f>'MASQUE DE SAISIE '!H21</f>
        <v>1.4999999999999999E-2</v>
      </c>
      <c r="F49" s="321"/>
      <c r="G49" s="319">
        <f t="shared" si="1"/>
        <v>40.42</v>
      </c>
      <c r="J49" s="42"/>
      <c r="L49" s="905"/>
    </row>
    <row r="50" spans="1:17" ht="19.899999999999999" customHeight="1" x14ac:dyDescent="0.3">
      <c r="A50" s="906" t="s">
        <v>39</v>
      </c>
      <c r="B50" s="907"/>
      <c r="C50" s="326"/>
      <c r="D50" s="320"/>
      <c r="E50" s="320"/>
      <c r="F50" s="321"/>
      <c r="G50" s="319"/>
      <c r="L50" s="905"/>
    </row>
    <row r="51" spans="1:17" ht="15" customHeight="1" x14ac:dyDescent="0.3">
      <c r="A51" s="912" t="s">
        <v>40</v>
      </c>
      <c r="B51" s="735"/>
      <c r="C51" s="319">
        <f>IF(J33&gt;C33,C33,J33)</f>
        <v>2694.8318181818181</v>
      </c>
      <c r="D51" s="320">
        <f>VLOOKUP(A51,TAUX2023,3,FALSE)</f>
        <v>6.9000000000000006E-2</v>
      </c>
      <c r="E51" s="320">
        <f>VLOOKUP(A51,TAUX2023,4,FALSE)</f>
        <v>8.5500000000000007E-2</v>
      </c>
      <c r="F51" s="321">
        <f t="shared" si="0"/>
        <v>185.94</v>
      </c>
      <c r="G51" s="319">
        <f t="shared" si="1"/>
        <v>230.41</v>
      </c>
    </row>
    <row r="52" spans="1:17" ht="15" customHeight="1" x14ac:dyDescent="0.3">
      <c r="A52" s="912" t="s">
        <v>41</v>
      </c>
      <c r="B52" s="735"/>
      <c r="C52" s="319">
        <f>J33</f>
        <v>2694.8318181818181</v>
      </c>
      <c r="D52" s="320">
        <f>VLOOKUP(A52,TAUX2023,3,FALSE)</f>
        <v>4.0000000000000001E-3</v>
      </c>
      <c r="E52" s="320">
        <f>VLOOKUP(A52,TAUX2023,4,FALSE)</f>
        <v>2.1100000000000001E-2</v>
      </c>
      <c r="F52" s="321">
        <f t="shared" si="0"/>
        <v>10.78</v>
      </c>
      <c r="G52" s="319">
        <f t="shared" si="1"/>
        <v>56.86</v>
      </c>
    </row>
    <row r="53" spans="1:17" ht="19.5" customHeight="1" x14ac:dyDescent="0.3">
      <c r="A53" s="912" t="s">
        <v>42</v>
      </c>
      <c r="B53" s="735"/>
      <c r="C53" s="319">
        <f>IF(J33&gt;C33,C33,J33)</f>
        <v>2694.8318181818181</v>
      </c>
      <c r="D53" s="327">
        <f>IF(J33&gt;C33,'TABLE DES TAUX 2026 '!D72,'TABLE DES TAUX 2026 '!B72)</f>
        <v>4.0099999999999997E-2</v>
      </c>
      <c r="E53" s="327">
        <f>IF(J33&gt;C33,'TABLE DES TAUX 2026 '!E72,'TABLE DES TAUX 2026 '!C72)</f>
        <v>6.0100000000000001E-2</v>
      </c>
      <c r="F53" s="321">
        <f t="shared" si="0"/>
        <v>108.06</v>
      </c>
      <c r="G53" s="319">
        <f t="shared" si="1"/>
        <v>161.96</v>
      </c>
      <c r="H53" s="218"/>
      <c r="I53" s="219"/>
      <c r="J53" s="220"/>
      <c r="K53" s="220"/>
      <c r="M53" s="913"/>
      <c r="N53" s="913"/>
      <c r="O53" s="913"/>
    </row>
    <row r="54" spans="1:17" ht="18" hidden="1" customHeight="1" x14ac:dyDescent="0.3">
      <c r="A54" s="912" t="s">
        <v>43</v>
      </c>
      <c r="B54" s="735"/>
      <c r="C54" s="328">
        <f>IF(J33&gt;C33,IF(J33&gt;8*C33,7*C33,J33-C33),0)</f>
        <v>0</v>
      </c>
      <c r="D54" s="327">
        <f>IF(J33&gt;C33,'TABLE DES TAUX 2026 '!D78,0)</f>
        <v>0</v>
      </c>
      <c r="E54" s="329">
        <f>IF(J33&gt;C33,'TABLE DES TAUX 2026 '!E78,0)</f>
        <v>0</v>
      </c>
      <c r="F54" s="321">
        <f t="shared" si="0"/>
        <v>0</v>
      </c>
      <c r="G54" s="319">
        <f t="shared" si="1"/>
        <v>0</v>
      </c>
      <c r="H54" s="218"/>
      <c r="I54" s="219"/>
      <c r="J54" s="220"/>
      <c r="K54" s="220"/>
      <c r="M54" s="914"/>
      <c r="N54" s="914"/>
      <c r="O54" s="222"/>
      <c r="P54" s="223"/>
      <c r="Q54" s="222"/>
    </row>
    <row r="55" spans="1:17" ht="28.5" hidden="1" customHeight="1" x14ac:dyDescent="0.3">
      <c r="A55" s="921"/>
      <c r="B55" s="922"/>
      <c r="C55" s="319"/>
      <c r="D55" s="329"/>
      <c r="E55" s="329">
        <f>IF(I33&gt;B32,'TABLE DES TAUX 2026 '!E77,0)</f>
        <v>0</v>
      </c>
      <c r="F55" s="321">
        <f t="shared" si="0"/>
        <v>0</v>
      </c>
      <c r="G55" s="319">
        <f t="shared" si="1"/>
        <v>0</v>
      </c>
      <c r="H55" s="218"/>
      <c r="I55" s="219"/>
      <c r="J55" s="220"/>
      <c r="K55" s="220"/>
      <c r="M55" s="221"/>
      <c r="N55" s="221"/>
      <c r="O55" s="222"/>
      <c r="P55" s="223"/>
      <c r="Q55" s="222"/>
    </row>
    <row r="56" spans="1:17" ht="28.5" hidden="1" customHeight="1" x14ac:dyDescent="0.3">
      <c r="A56" s="921"/>
      <c r="B56" s="922"/>
      <c r="C56" s="319"/>
      <c r="D56" s="329"/>
      <c r="E56" s="329">
        <f>IF(I34&gt;B33,'TABLE DES TAUX 2026 '!E78,0)</f>
        <v>0</v>
      </c>
      <c r="F56" s="321">
        <f t="shared" si="0"/>
        <v>0</v>
      </c>
      <c r="G56" s="319">
        <f t="shared" si="1"/>
        <v>0</v>
      </c>
      <c r="H56" s="218"/>
      <c r="I56" s="219"/>
      <c r="J56" s="220"/>
      <c r="K56" s="220"/>
      <c r="M56" s="221"/>
      <c r="N56" s="221"/>
      <c r="O56" s="222"/>
      <c r="P56" s="223"/>
      <c r="Q56" s="222"/>
    </row>
    <row r="57" spans="1:17" ht="28.5" customHeight="1" x14ac:dyDescent="0.3">
      <c r="A57" s="888" t="s">
        <v>44</v>
      </c>
      <c r="B57" s="889"/>
      <c r="C57" s="319"/>
      <c r="D57" s="320"/>
      <c r="E57" s="329"/>
      <c r="F57" s="321"/>
      <c r="G57" s="319"/>
      <c r="H57" s="218"/>
      <c r="I57" s="923"/>
      <c r="J57" s="923"/>
      <c r="M57" s="911"/>
      <c r="N57" s="911"/>
      <c r="P57" s="225"/>
      <c r="Q57" s="216"/>
    </row>
    <row r="58" spans="1:17" ht="19.5" customHeight="1" x14ac:dyDescent="0.3">
      <c r="A58" s="912" t="s">
        <v>240</v>
      </c>
      <c r="B58" s="735"/>
      <c r="C58" s="319">
        <f>J33</f>
        <v>2694.8318181818181</v>
      </c>
      <c r="D58" s="320"/>
      <c r="E58" s="293">
        <f>VLOOKUP(A58,TAUX2023,4,FALSE)</f>
        <v>5.2499999999999998E-2</v>
      </c>
      <c r="F58" s="321"/>
      <c r="G58" s="319">
        <f t="shared" si="1"/>
        <v>141.47999999999999</v>
      </c>
      <c r="H58" s="218"/>
      <c r="I58" s="259"/>
      <c r="J58" s="259"/>
      <c r="M58" s="224"/>
      <c r="N58" s="224"/>
      <c r="P58" s="225"/>
      <c r="Q58" s="216"/>
    </row>
    <row r="59" spans="1:17" ht="14.25" hidden="1" customHeight="1" x14ac:dyDescent="0.3">
      <c r="A59" s="912"/>
      <c r="B59" s="735"/>
      <c r="C59" s="319"/>
      <c r="D59" s="320"/>
      <c r="E59" s="293"/>
      <c r="F59" s="321"/>
      <c r="G59" s="319"/>
      <c r="H59" s="218"/>
      <c r="I59" s="23"/>
      <c r="J59" s="259"/>
      <c r="M59" s="224"/>
      <c r="N59" s="224"/>
      <c r="P59" s="225"/>
      <c r="Q59" s="216"/>
    </row>
    <row r="60" spans="1:17" ht="21" customHeight="1" x14ac:dyDescent="0.3">
      <c r="A60" s="888" t="s">
        <v>45</v>
      </c>
      <c r="B60" s="889"/>
      <c r="C60" s="323"/>
      <c r="D60" s="330"/>
      <c r="E60" s="329"/>
      <c r="F60" s="321"/>
      <c r="G60" s="319"/>
      <c r="H60" s="226"/>
      <c r="I60" s="23"/>
      <c r="J60" s="259"/>
      <c r="M60" s="911"/>
      <c r="N60" s="911"/>
      <c r="O60" s="227"/>
      <c r="Q60" s="24">
        <v>1.546</v>
      </c>
    </row>
    <row r="61" spans="1:17" ht="21" customHeight="1" x14ac:dyDescent="0.3">
      <c r="A61" s="738" t="s">
        <v>645</v>
      </c>
      <c r="B61" s="739"/>
      <c r="C61" s="324">
        <f>IF(J33&gt;C33,IF(J33&gt;4*C33,4*C33,J33),J33)</f>
        <v>2694.8318181818181</v>
      </c>
      <c r="D61" s="329"/>
      <c r="E61" s="493">
        <f>IF(H10&gt;=45778,4%,4.05%)+'TABLE DES TAUX 2026 '!D14</f>
        <v>4.2500000000000003E-2</v>
      </c>
      <c r="F61" s="321"/>
      <c r="G61" s="319">
        <f t="shared" si="1"/>
        <v>114.53</v>
      </c>
      <c r="H61" s="226"/>
      <c r="I61" s="23"/>
      <c r="J61" s="259"/>
      <c r="M61" s="224"/>
      <c r="N61" s="224"/>
      <c r="O61" s="227"/>
    </row>
    <row r="62" spans="1:17" ht="21" customHeight="1" x14ac:dyDescent="0.3">
      <c r="A62" s="738" t="s">
        <v>267</v>
      </c>
      <c r="B62" s="739"/>
      <c r="C62" s="324">
        <f>IF(I9=2,C61,0)</f>
        <v>2694.8318181818181</v>
      </c>
      <c r="D62" s="331">
        <f>VLOOKUP(A62,TAUX2023,3,FALSE)</f>
        <v>2.4000000000000001E-4</v>
      </c>
      <c r="E62" s="331">
        <f>VLOOKUP(A62,TAUX2023,4,FALSE)</f>
        <v>3.6000000000000002E-4</v>
      </c>
      <c r="F62" s="321">
        <f t="shared" si="0"/>
        <v>0.65</v>
      </c>
      <c r="G62" s="319">
        <f t="shared" si="1"/>
        <v>0.97</v>
      </c>
      <c r="H62" s="226"/>
      <c r="J62" s="42"/>
      <c r="M62" s="224"/>
      <c r="N62" s="224"/>
      <c r="O62" s="227"/>
    </row>
    <row r="63" spans="1:17" ht="21" customHeight="1" x14ac:dyDescent="0.3">
      <c r="A63" s="888" t="s">
        <v>646</v>
      </c>
      <c r="B63" s="889"/>
      <c r="C63" s="319"/>
      <c r="D63" s="319"/>
      <c r="E63" s="332"/>
      <c r="F63" s="321"/>
      <c r="G63" s="319">
        <f>E130</f>
        <v>174.23000000000002</v>
      </c>
      <c r="M63" s="911"/>
      <c r="N63" s="911"/>
      <c r="O63" s="218"/>
    </row>
    <row r="64" spans="1:17" ht="34.5" hidden="1" customHeight="1" x14ac:dyDescent="0.3">
      <c r="A64" s="915" t="s">
        <v>47</v>
      </c>
      <c r="B64" s="916"/>
      <c r="C64" s="333"/>
      <c r="D64" s="334"/>
      <c r="E64" s="335"/>
      <c r="F64" s="321"/>
      <c r="G64" s="319"/>
      <c r="I64" s="23"/>
      <c r="J64" s="259"/>
    </row>
    <row r="65" spans="1:11" ht="19.149999999999999" customHeight="1" x14ac:dyDescent="0.3">
      <c r="A65" s="887" t="s">
        <v>48</v>
      </c>
      <c r="B65" s="887"/>
      <c r="C65" s="328">
        <f>'HEURES SUPPLEMENTAIRES '!F136</f>
        <v>2502.8715113636367</v>
      </c>
      <c r="D65" s="336">
        <f>VLOOKUP(A65,TAUX2023,3,FALSE)</f>
        <v>6.8000000000000005E-2</v>
      </c>
      <c r="E65" s="319"/>
      <c r="F65" s="321">
        <f t="shared" si="0"/>
        <v>170.2</v>
      </c>
      <c r="G65" s="319"/>
      <c r="I65" s="23"/>
      <c r="J65" s="259"/>
    </row>
    <row r="66" spans="1:11" ht="22.5" customHeight="1" x14ac:dyDescent="0.3">
      <c r="A66" s="887" t="s">
        <v>49</v>
      </c>
      <c r="B66" s="887"/>
      <c r="C66" s="328">
        <f>C65</f>
        <v>2502.8715113636367</v>
      </c>
      <c r="D66" s="336">
        <f>VLOOKUP(A66,TAUX2023,3,FALSE)</f>
        <v>2.9000000000000001E-2</v>
      </c>
      <c r="E66" s="319"/>
      <c r="F66" s="321">
        <f t="shared" si="0"/>
        <v>72.58</v>
      </c>
      <c r="G66" s="319"/>
      <c r="I66" s="23"/>
      <c r="J66" s="259"/>
      <c r="K66" s="216"/>
    </row>
    <row r="67" spans="1:11" ht="22.5" customHeight="1" x14ac:dyDescent="0.3">
      <c r="A67" s="887" t="s">
        <v>232</v>
      </c>
      <c r="B67" s="887"/>
      <c r="C67" s="328">
        <f>'HEURES SUPPLEMENTAIRES '!F137</f>
        <v>252.60075000000003</v>
      </c>
      <c r="D67" s="336">
        <f>D65</f>
        <v>6.8000000000000005E-2</v>
      </c>
      <c r="E67" s="319"/>
      <c r="F67" s="321">
        <f t="shared" si="0"/>
        <v>17.18</v>
      </c>
      <c r="G67" s="319"/>
      <c r="J67" s="216"/>
      <c r="K67" s="216"/>
    </row>
    <row r="68" spans="1:11" ht="22.5" hidden="1" customHeight="1" x14ac:dyDescent="0.3">
      <c r="A68" s="887" t="s">
        <v>233</v>
      </c>
      <c r="B68" s="887"/>
      <c r="C68" s="328">
        <f>'HEURES SUPPLEMENTAIRES '!F138</f>
        <v>0</v>
      </c>
      <c r="D68" s="336">
        <f>D65</f>
        <v>6.8000000000000005E-2</v>
      </c>
      <c r="E68" s="319"/>
      <c r="F68" s="321">
        <f t="shared" si="0"/>
        <v>0</v>
      </c>
      <c r="G68" s="319"/>
      <c r="J68" s="216"/>
      <c r="K68" s="216"/>
    </row>
    <row r="69" spans="1:11" ht="22.5" customHeight="1" x14ac:dyDescent="0.3">
      <c r="A69" s="887" t="s">
        <v>234</v>
      </c>
      <c r="B69" s="887"/>
      <c r="C69" s="319">
        <f>+C67+C68</f>
        <v>252.60075000000003</v>
      </c>
      <c r="D69" s="336">
        <f>D66</f>
        <v>2.9000000000000001E-2</v>
      </c>
      <c r="E69" s="319"/>
      <c r="F69" s="321">
        <f t="shared" si="0"/>
        <v>7.33</v>
      </c>
      <c r="G69" s="319"/>
      <c r="J69" s="216"/>
      <c r="K69" s="216"/>
    </row>
    <row r="70" spans="1:11" ht="22.5" customHeight="1" x14ac:dyDescent="0.3">
      <c r="A70" s="888" t="s">
        <v>270</v>
      </c>
      <c r="B70" s="889"/>
      <c r="C70" s="337"/>
      <c r="D70" s="337"/>
      <c r="E70" s="338"/>
      <c r="F70" s="321">
        <f t="shared" si="0"/>
        <v>0</v>
      </c>
      <c r="G70" s="294">
        <f>-'HEURES SUPPLEMENTAIRES '!A145-'RGDU '!C45</f>
        <v>-214.93</v>
      </c>
      <c r="J70" s="216"/>
      <c r="K70" s="216"/>
    </row>
    <row r="71" spans="1:11" ht="22.5" customHeight="1" x14ac:dyDescent="0.3">
      <c r="A71" s="887" t="s">
        <v>53</v>
      </c>
      <c r="B71" s="887"/>
      <c r="C71" s="319">
        <f>'HEURES SUPPLEMENTAIRES '!E57</f>
        <v>257.10000000000002</v>
      </c>
      <c r="D71" s="339">
        <f>+'HEURES SUPPLEMENTAIRES '!D57</f>
        <v>0.11310000000000001</v>
      </c>
      <c r="E71" s="340"/>
      <c r="F71" s="321">
        <f>-ROUND(C71*D71,2)</f>
        <v>-29.08</v>
      </c>
      <c r="G71" s="341"/>
      <c r="J71" s="216"/>
      <c r="K71" s="216"/>
    </row>
    <row r="72" spans="1:11" ht="21.75" customHeight="1" x14ac:dyDescent="0.3">
      <c r="A72" s="738" t="s">
        <v>54</v>
      </c>
      <c r="B72" s="739"/>
      <c r="C72" s="319"/>
      <c r="D72" s="319"/>
      <c r="E72" s="332"/>
      <c r="F72" s="342">
        <f>SUM(F37:F71)</f>
        <v>570.58999999999992</v>
      </c>
      <c r="G72" s="343">
        <f>SUM(G37:G71)</f>
        <v>1110.1599999999999</v>
      </c>
      <c r="J72" s="216"/>
    </row>
    <row r="73" spans="1:11" ht="23.25" customHeight="1" x14ac:dyDescent="0.3">
      <c r="A73" s="917" t="s">
        <v>242</v>
      </c>
      <c r="B73" s="918"/>
      <c r="C73" s="319"/>
      <c r="D73" s="319"/>
      <c r="E73" s="332"/>
      <c r="F73" s="332"/>
      <c r="G73" s="319"/>
      <c r="H73" s="216"/>
      <c r="I73" s="216"/>
      <c r="J73" s="216"/>
    </row>
    <row r="74" spans="1:11" ht="17.25" hidden="1" customHeight="1" x14ac:dyDescent="0.3">
      <c r="A74" s="738" t="s">
        <v>243</v>
      </c>
      <c r="B74" s="739"/>
      <c r="C74" s="319">
        <f>IF(I9=1,J33,0)</f>
        <v>0</v>
      </c>
      <c r="D74" s="336">
        <f>'MASQUE DE SAISIE '!G13</f>
        <v>0</v>
      </c>
      <c r="E74" s="336">
        <f>'MASQUE DE SAISIE '!H13</f>
        <v>0</v>
      </c>
      <c r="F74" s="332">
        <f>ROUND(C74*D74,2)</f>
        <v>0</v>
      </c>
      <c r="G74" s="205">
        <f>ROUND(C74*E74,2)</f>
        <v>0</v>
      </c>
      <c r="I74" s="216"/>
    </row>
    <row r="75" spans="1:11" ht="17.25" customHeight="1" x14ac:dyDescent="0.3">
      <c r="A75" s="738" t="s">
        <v>244</v>
      </c>
      <c r="B75" s="739"/>
      <c r="C75" s="319">
        <f>IF(I9=2,J33,0)</f>
        <v>2694.8318181818181</v>
      </c>
      <c r="D75" s="336">
        <f>'MASQUE DE SAISIE '!G16</f>
        <v>0.01</v>
      </c>
      <c r="E75" s="336">
        <f>'MASQUE DE SAISIE '!H16</f>
        <v>0.02</v>
      </c>
      <c r="F75" s="332">
        <f>ROUND(C75*D75,2)</f>
        <v>26.95</v>
      </c>
      <c r="G75" s="205">
        <f>ROUND(C75*E75,2)</f>
        <v>53.9</v>
      </c>
      <c r="I75" s="229"/>
      <c r="J75" s="230"/>
      <c r="K75" s="229"/>
    </row>
    <row r="76" spans="1:11" ht="17.25" hidden="1" customHeight="1" x14ac:dyDescent="0.3">
      <c r="A76" s="738" t="s">
        <v>198</v>
      </c>
      <c r="B76" s="739"/>
      <c r="C76" s="324"/>
      <c r="D76" s="320">
        <f>VLOOKUP(A76,TAUX2023,3,FALSE)</f>
        <v>0</v>
      </c>
      <c r="E76" s="320">
        <f>VLOOKUP(A76,TAUX2023,4,FALSE)</f>
        <v>0</v>
      </c>
      <c r="F76" s="321">
        <f>ROUND(C76*D76,2)</f>
        <v>0</v>
      </c>
      <c r="G76" s="319">
        <f>ROUND(C76*E76,2)</f>
        <v>0</v>
      </c>
      <c r="I76" s="229"/>
      <c r="J76" s="230"/>
      <c r="K76" s="229"/>
    </row>
    <row r="77" spans="1:11" ht="17.45" hidden="1" customHeight="1" x14ac:dyDescent="0.3">
      <c r="A77" s="738" t="s">
        <v>374</v>
      </c>
      <c r="B77" s="739"/>
      <c r="C77" s="319"/>
      <c r="D77" s="336">
        <f>'MASQUE DE SAISIE '!G17</f>
        <v>0</v>
      </c>
      <c r="E77" s="336">
        <f>'MASQUE DE SAISIE '!H16</f>
        <v>0.02</v>
      </c>
      <c r="F77" s="332">
        <f>ROUND(C77*D77,2)</f>
        <v>0</v>
      </c>
      <c r="G77" s="205">
        <f>ROUND(C77*E77,2)</f>
        <v>0</v>
      </c>
      <c r="K77" s="216"/>
    </row>
    <row r="78" spans="1:11" ht="17.45" customHeight="1" x14ac:dyDescent="0.3">
      <c r="A78" s="884" t="s">
        <v>216</v>
      </c>
      <c r="B78" s="885"/>
      <c r="C78" s="323"/>
      <c r="D78" s="330"/>
      <c r="E78" s="330"/>
      <c r="F78" s="344">
        <f>J33-F72-F74-F75+F82</f>
        <v>2097.2918181818186</v>
      </c>
      <c r="G78" s="323"/>
      <c r="J78" s="679"/>
      <c r="K78" s="216"/>
    </row>
    <row r="79" spans="1:11" ht="18" customHeight="1" x14ac:dyDescent="0.3">
      <c r="A79" s="739" t="s">
        <v>245</v>
      </c>
      <c r="B79" s="843"/>
      <c r="C79" s="323"/>
      <c r="D79" s="330"/>
      <c r="E79" s="330"/>
      <c r="F79" s="323">
        <f>'MASQUE DE SAISIE '!E47*'MASQUE DE SAISIE '!E48</f>
        <v>132</v>
      </c>
      <c r="G79" s="323">
        <f>'MASQUE DE SAISIE '!E47*'MASQUE DE SAISIE '!E49</f>
        <v>132</v>
      </c>
      <c r="K79" s="216"/>
    </row>
    <row r="80" spans="1:11" ht="19.5" customHeight="1" x14ac:dyDescent="0.3">
      <c r="A80" s="739" t="s">
        <v>246</v>
      </c>
      <c r="B80" s="843"/>
      <c r="C80" s="323"/>
      <c r="D80" s="330"/>
      <c r="E80" s="330"/>
      <c r="F80" s="408">
        <f>'MASQUE DE SAISIE '!E50</f>
        <v>45.8</v>
      </c>
      <c r="G80" s="333"/>
      <c r="K80" s="216"/>
    </row>
    <row r="81" spans="1:12" ht="18.75" customHeight="1" x14ac:dyDescent="0.3">
      <c r="A81" s="740" t="s">
        <v>826</v>
      </c>
      <c r="B81" s="741"/>
      <c r="C81" s="289"/>
      <c r="D81" s="290"/>
      <c r="E81" s="290"/>
      <c r="F81" s="408">
        <f>-J17</f>
        <v>-119.55000000000001</v>
      </c>
      <c r="G81" s="291"/>
      <c r="K81" s="216"/>
    </row>
    <row r="82" spans="1:12" ht="19.5" hidden="1" customHeight="1" x14ac:dyDescent="0.3">
      <c r="A82" s="739" t="s">
        <v>385</v>
      </c>
      <c r="B82" s="843"/>
      <c r="C82" s="289"/>
      <c r="D82" s="290"/>
      <c r="E82" s="290"/>
      <c r="F82" s="438"/>
      <c r="G82" s="291"/>
      <c r="K82" s="216"/>
    </row>
    <row r="83" spans="1:12" customFormat="1" ht="19.5" customHeight="1" x14ac:dyDescent="0.25">
      <c r="A83" s="886" t="s">
        <v>64</v>
      </c>
      <c r="B83" s="886"/>
      <c r="C83" s="886"/>
      <c r="D83" s="886"/>
      <c r="E83" s="886"/>
      <c r="F83" s="886"/>
      <c r="G83" s="886"/>
      <c r="H83" s="886"/>
      <c r="I83" s="886"/>
      <c r="J83" s="919">
        <f>J33-F72-F74-F75-F44-F77-F79+F80+F81+F82</f>
        <v>1891.5418181818186</v>
      </c>
      <c r="K83" s="920"/>
      <c r="L83" s="920"/>
    </row>
    <row r="84" spans="1:12" customFormat="1" ht="18" customHeight="1" x14ac:dyDescent="0.25">
      <c r="A84" s="886" t="s">
        <v>217</v>
      </c>
      <c r="B84" s="886"/>
      <c r="C84" s="886"/>
      <c r="D84" s="886"/>
      <c r="E84" s="886"/>
      <c r="F84" s="886"/>
      <c r="G84" s="886"/>
      <c r="H84" s="886"/>
      <c r="I84" s="886"/>
      <c r="J84" s="919">
        <f>'HEURES SUPPLEMENTAIRES '!E100</f>
        <v>1991.181818181818</v>
      </c>
      <c r="K84" s="920"/>
      <c r="L84" s="920"/>
    </row>
    <row r="85" spans="1:12" customFormat="1" ht="23.25" customHeight="1" x14ac:dyDescent="0.25">
      <c r="A85" s="908" t="s">
        <v>218</v>
      </c>
      <c r="B85" s="908"/>
      <c r="C85" s="908"/>
      <c r="D85" s="908"/>
      <c r="E85" s="908"/>
      <c r="F85" s="908"/>
      <c r="G85" s="908"/>
      <c r="H85" s="908"/>
      <c r="I85" s="908"/>
      <c r="J85" s="910">
        <f>'HEURES SUPPLEMENTAIRES '!E57-F67</f>
        <v>239.92000000000002</v>
      </c>
      <c r="K85" s="910"/>
      <c r="L85" s="65"/>
    </row>
    <row r="86" spans="1:12" customFormat="1" ht="23.25" customHeight="1" x14ac:dyDescent="0.25">
      <c r="A86" s="908" t="s">
        <v>289</v>
      </c>
      <c r="B86" s="908"/>
      <c r="C86" s="908"/>
      <c r="D86" s="908"/>
      <c r="E86" s="908"/>
      <c r="F86" s="908"/>
      <c r="G86" s="908"/>
      <c r="H86" s="908"/>
      <c r="I86" s="908"/>
      <c r="J86" s="442">
        <f>'HEURES SUPPLEMENTAIRES '!G57</f>
        <v>0</v>
      </c>
      <c r="K86" s="443"/>
      <c r="L86" s="444"/>
    </row>
    <row r="87" spans="1:12" customFormat="1" ht="23.25" customHeight="1" x14ac:dyDescent="0.25">
      <c r="A87" s="895" t="s">
        <v>219</v>
      </c>
      <c r="B87" s="896"/>
      <c r="C87" s="897"/>
      <c r="D87" s="873" t="s">
        <v>59</v>
      </c>
      <c r="E87" s="873"/>
      <c r="F87" s="873" t="s">
        <v>66</v>
      </c>
      <c r="G87" s="873"/>
      <c r="H87" s="345" t="s">
        <v>60</v>
      </c>
      <c r="I87" s="62"/>
      <c r="J87" s="909" t="s">
        <v>288</v>
      </c>
      <c r="K87" s="909"/>
      <c r="L87" s="56"/>
    </row>
    <row r="88" spans="1:12" customFormat="1" ht="20.25" customHeight="1" x14ac:dyDescent="0.25">
      <c r="A88" s="898"/>
      <c r="B88" s="899"/>
      <c r="C88" s="900"/>
      <c r="D88" s="901">
        <f>J84</f>
        <v>1991.181818181818</v>
      </c>
      <c r="E88" s="902"/>
      <c r="F88" s="903">
        <f>'TAUX NEUTRE '!H12</f>
        <v>2.9000000000000001E-2</v>
      </c>
      <c r="G88" s="904"/>
      <c r="H88" s="346">
        <f>ROUND(D88*F88,2)</f>
        <v>57.74</v>
      </c>
      <c r="I88" s="62"/>
      <c r="J88" s="56"/>
      <c r="K88" s="56"/>
      <c r="L88" s="56"/>
    </row>
    <row r="89" spans="1:12" customFormat="1" ht="15" x14ac:dyDescent="0.25">
      <c r="A89" s="892" t="s">
        <v>269</v>
      </c>
      <c r="B89" s="892"/>
      <c r="C89" s="892"/>
      <c r="D89" s="892"/>
      <c r="E89" s="892"/>
      <c r="F89" s="892"/>
      <c r="G89" s="892"/>
      <c r="H89" s="892"/>
      <c r="I89" s="892"/>
      <c r="J89" s="893">
        <f>J83-H88</f>
        <v>1833.8018181818186</v>
      </c>
      <c r="K89" s="893"/>
      <c r="L89" s="893"/>
    </row>
    <row r="90" spans="1:12" customFormat="1" ht="15" x14ac:dyDescent="0.25">
      <c r="A90" s="892" t="s">
        <v>57</v>
      </c>
      <c r="B90" s="892"/>
      <c r="C90" s="892"/>
      <c r="D90" s="892"/>
      <c r="E90" s="892"/>
      <c r="F90" s="892"/>
      <c r="G90" s="892"/>
      <c r="H90" s="892"/>
      <c r="I90" s="892"/>
      <c r="J90" s="893">
        <f>G72+J33+G74+G75+G44+G77</f>
        <v>3858.8918181818181</v>
      </c>
      <c r="K90" s="894"/>
      <c r="L90" s="894"/>
    </row>
    <row r="91" spans="1:12" customFormat="1" ht="15" x14ac:dyDescent="0.25">
      <c r="A91" s="59"/>
      <c r="B91" s="67" t="s">
        <v>63</v>
      </c>
      <c r="C91" s="67" t="s">
        <v>272</v>
      </c>
      <c r="D91" s="890" t="s">
        <v>274</v>
      </c>
      <c r="E91" s="891"/>
      <c r="F91" s="890" t="s">
        <v>275</v>
      </c>
      <c r="G91" s="891"/>
      <c r="H91" s="347"/>
      <c r="I91" s="347"/>
      <c r="J91" s="173"/>
      <c r="K91" s="348"/>
      <c r="L91" s="348"/>
    </row>
    <row r="92" spans="1:12" customFormat="1" ht="21" customHeight="1" x14ac:dyDescent="0.25">
      <c r="A92" s="349" t="s">
        <v>273</v>
      </c>
      <c r="B92" s="63">
        <f>H88</f>
        <v>57.74</v>
      </c>
      <c r="C92" s="63"/>
      <c r="D92" s="67" t="s">
        <v>99</v>
      </c>
      <c r="E92" s="63"/>
      <c r="F92" s="67" t="s">
        <v>285</v>
      </c>
      <c r="G92" s="63"/>
      <c r="H92" s="67"/>
      <c r="I92" s="347"/>
      <c r="J92" s="173"/>
      <c r="K92" s="348"/>
      <c r="L92" s="348"/>
    </row>
    <row r="93" spans="1:12" customFormat="1" ht="21" customHeight="1" x14ac:dyDescent="0.25">
      <c r="A93" s="350" t="s">
        <v>277</v>
      </c>
      <c r="B93" s="352">
        <f>C71</f>
        <v>257.10000000000002</v>
      </c>
      <c r="C93" s="352"/>
      <c r="D93" s="67" t="s">
        <v>92</v>
      </c>
      <c r="E93" s="63"/>
      <c r="F93" s="67" t="s">
        <v>231</v>
      </c>
      <c r="G93" s="63"/>
      <c r="H93" s="347"/>
      <c r="I93" s="347"/>
      <c r="J93" s="173"/>
      <c r="K93" s="348"/>
      <c r="L93" s="348"/>
    </row>
    <row r="94" spans="1:12" customFormat="1" ht="17.25" customHeight="1" x14ac:dyDescent="0.25">
      <c r="A94" s="351" t="s">
        <v>177</v>
      </c>
      <c r="B94" s="352">
        <f>J33</f>
        <v>2694.8318181818181</v>
      </c>
      <c r="C94" s="352"/>
      <c r="D94" s="67" t="s">
        <v>230</v>
      </c>
      <c r="E94" s="63"/>
      <c r="F94" s="67" t="s">
        <v>230</v>
      </c>
      <c r="G94" s="63"/>
      <c r="H94" s="347"/>
      <c r="I94" s="347"/>
      <c r="J94" s="173"/>
      <c r="K94" s="348"/>
      <c r="L94" s="348"/>
    </row>
    <row r="95" spans="1:12" customFormat="1" ht="17.25" customHeight="1" x14ac:dyDescent="0.25">
      <c r="A95" s="351" t="s">
        <v>61</v>
      </c>
      <c r="B95" s="352">
        <f>+J84</f>
        <v>1991.181818181818</v>
      </c>
      <c r="C95" s="352"/>
      <c r="D95" s="347"/>
      <c r="E95" s="347"/>
      <c r="F95" s="347"/>
      <c r="G95" s="347"/>
      <c r="H95" s="347"/>
      <c r="I95" s="347"/>
      <c r="J95" s="173"/>
      <c r="K95" s="348"/>
      <c r="L95" s="348"/>
    </row>
    <row r="96" spans="1:12" customFormat="1" ht="15" customHeight="1" x14ac:dyDescent="0.25">
      <c r="A96" s="865" t="s">
        <v>58</v>
      </c>
      <c r="B96" s="865"/>
      <c r="C96" s="865"/>
      <c r="D96" s="865"/>
      <c r="E96" s="865"/>
      <c r="F96" s="23"/>
      <c r="G96" s="23"/>
      <c r="H96" s="23"/>
      <c r="I96" s="23"/>
      <c r="J96" s="23"/>
      <c r="K96" s="23"/>
      <c r="L96" s="23"/>
    </row>
    <row r="97" spans="1:9" s="23" customFormat="1" ht="12" customHeight="1" x14ac:dyDescent="0.25">
      <c r="A97" s="43" t="s">
        <v>62</v>
      </c>
    </row>
    <row r="98" spans="1:9" s="23" customFormat="1" ht="12" customHeight="1" x14ac:dyDescent="0.25">
      <c r="A98" s="23" t="s">
        <v>290</v>
      </c>
    </row>
    <row r="99" spans="1:9" s="23" customFormat="1" ht="12" hidden="1" customHeight="1" x14ac:dyDescent="0.25">
      <c r="A99" s="43"/>
    </row>
    <row r="100" spans="1:9" s="23" customFormat="1" ht="12" hidden="1" customHeight="1" x14ac:dyDescent="0.3">
      <c r="A100" s="234" t="s">
        <v>88</v>
      </c>
      <c r="B100" s="235"/>
      <c r="C100" s="236">
        <v>7.4999999999999997E-3</v>
      </c>
      <c r="D100" s="228">
        <f>ROUND(J33*C100,2)</f>
        <v>20.21</v>
      </c>
      <c r="E100" s="215"/>
      <c r="F100" s="237"/>
      <c r="G100" s="214"/>
      <c r="H100" s="24"/>
      <c r="I100" s="24"/>
    </row>
    <row r="101" spans="1:9" ht="30.75" hidden="1" customHeight="1" x14ac:dyDescent="0.3">
      <c r="A101" s="234" t="s">
        <v>89</v>
      </c>
      <c r="B101" s="235"/>
      <c r="C101" s="238">
        <f>(2.4-0.95)%</f>
        <v>1.4499999999999999E-2</v>
      </c>
      <c r="D101" s="228">
        <f>ROUND(C61*C101,2)</f>
        <v>39.08</v>
      </c>
      <c r="F101" s="233"/>
    </row>
    <row r="102" spans="1:9" ht="30.75" hidden="1" customHeight="1" x14ac:dyDescent="0.3">
      <c r="A102" s="239" t="s">
        <v>235</v>
      </c>
      <c r="B102" s="235"/>
      <c r="D102" s="215">
        <f>D100+D101</f>
        <v>59.29</v>
      </c>
      <c r="F102" s="233"/>
    </row>
    <row r="103" spans="1:9" ht="30.75" hidden="1" customHeight="1" x14ac:dyDescent="0.3">
      <c r="A103" s="234" t="s">
        <v>236</v>
      </c>
      <c r="C103" s="215"/>
      <c r="F103" s="240"/>
    </row>
    <row r="104" spans="1:9" ht="30.75" hidden="1" customHeight="1" x14ac:dyDescent="0.3">
      <c r="A104" s="234"/>
      <c r="C104" s="215"/>
      <c r="F104" s="240"/>
    </row>
    <row r="105" spans="1:9" ht="30.75" hidden="1" customHeight="1" x14ac:dyDescent="0.3">
      <c r="A105" s="234" t="s">
        <v>90</v>
      </c>
      <c r="B105" s="241"/>
      <c r="C105" s="228">
        <v>1.7000000000000001E-2</v>
      </c>
      <c r="D105" s="228">
        <f>ROUND(C65*C105,2)</f>
        <v>42.55</v>
      </c>
      <c r="F105" s="240"/>
    </row>
    <row r="106" spans="1:9" ht="30.75" hidden="1" customHeight="1" x14ac:dyDescent="0.3">
      <c r="A106" s="242"/>
      <c r="B106" s="243"/>
      <c r="C106" s="244"/>
      <c r="D106" s="244"/>
      <c r="E106" s="244"/>
      <c r="F106" s="245"/>
    </row>
    <row r="107" spans="1:9" ht="30.75" hidden="1" customHeight="1" x14ac:dyDescent="0.3">
      <c r="A107" s="246" t="s">
        <v>237</v>
      </c>
      <c r="B107" s="247"/>
      <c r="C107" s="248"/>
      <c r="D107" s="248"/>
      <c r="E107" s="248"/>
      <c r="F107" s="249"/>
    </row>
    <row r="108" spans="1:9" ht="30.75" hidden="1" customHeight="1" x14ac:dyDescent="0.3">
      <c r="A108" s="231"/>
      <c r="B108" s="232"/>
      <c r="C108" s="250"/>
      <c r="F108" s="251"/>
    </row>
    <row r="109" spans="1:9" ht="30.75" hidden="1" customHeight="1" x14ac:dyDescent="0.3">
      <c r="A109" s="234" t="s">
        <v>88</v>
      </c>
      <c r="B109" s="235"/>
      <c r="C109" s="236">
        <v>7.4999999999999997E-3</v>
      </c>
      <c r="D109" s="228">
        <f>ROUND(J33*C109,2)</f>
        <v>20.21</v>
      </c>
      <c r="E109" s="214"/>
      <c r="F109" s="233"/>
    </row>
    <row r="110" spans="1:9" ht="30.75" hidden="1" customHeight="1" x14ac:dyDescent="0.3">
      <c r="A110" s="234" t="s">
        <v>89</v>
      </c>
      <c r="B110" s="235"/>
      <c r="C110" s="238">
        <f>(2.4)%</f>
        <v>2.4E-2</v>
      </c>
      <c r="D110" s="228">
        <f>ROUND(C61*C110,2)</f>
        <v>64.680000000000007</v>
      </c>
      <c r="E110" s="252"/>
      <c r="F110" s="233"/>
    </row>
    <row r="111" spans="1:9" ht="30.75" hidden="1" customHeight="1" x14ac:dyDescent="0.3">
      <c r="A111" s="239" t="s">
        <v>238</v>
      </c>
      <c r="B111" s="235"/>
      <c r="E111" s="252"/>
      <c r="F111" s="233"/>
    </row>
    <row r="112" spans="1:9" ht="30.75" hidden="1" customHeight="1" x14ac:dyDescent="0.3">
      <c r="A112" s="234" t="s">
        <v>236</v>
      </c>
      <c r="C112" s="215"/>
      <c r="E112" s="253">
        <f>D110+D109-D114</f>
        <v>42.340000000000018</v>
      </c>
      <c r="F112" s="233"/>
    </row>
    <row r="113" spans="1:18" ht="30.75" hidden="1" customHeight="1" x14ac:dyDescent="0.3">
      <c r="A113" s="234"/>
      <c r="C113" s="215"/>
      <c r="E113" s="252"/>
      <c r="F113" s="233"/>
    </row>
    <row r="114" spans="1:18" ht="30.75" hidden="1" customHeight="1" x14ac:dyDescent="0.3">
      <c r="A114" s="234" t="s">
        <v>90</v>
      </c>
      <c r="B114" s="241"/>
      <c r="C114" s="228">
        <v>1.7000000000000001E-2</v>
      </c>
      <c r="D114" s="228">
        <f>ROUND(C65*C114,2)</f>
        <v>42.55</v>
      </c>
      <c r="F114" s="233"/>
    </row>
    <row r="115" spans="1:18" ht="30.75" hidden="1" customHeight="1" x14ac:dyDescent="0.3">
      <c r="A115" s="254"/>
      <c r="B115" s="255"/>
      <c r="C115" s="256"/>
      <c r="D115" s="256"/>
      <c r="E115" s="256"/>
      <c r="F115" s="257"/>
    </row>
    <row r="116" spans="1:18" ht="30.75" hidden="1" customHeight="1" x14ac:dyDescent="0.3">
      <c r="B116" s="235"/>
    </row>
    <row r="117" spans="1:18" ht="30.75" customHeight="1" x14ac:dyDescent="0.3">
      <c r="A117" s="25"/>
    </row>
    <row r="118" spans="1:18" ht="30.75" customHeight="1" x14ac:dyDescent="0.3">
      <c r="A118" s="935" t="s">
        <v>82</v>
      </c>
      <c r="B118" s="935"/>
      <c r="C118" s="935"/>
      <c r="D118" s="935"/>
      <c r="E118" s="935"/>
      <c r="F118" s="179"/>
      <c r="G118" s="25"/>
      <c r="H118" s="25"/>
      <c r="I118" s="25"/>
    </row>
    <row r="119" spans="1:18" customFormat="1" ht="30.6" customHeight="1" x14ac:dyDescent="0.25">
      <c r="A119" s="181"/>
      <c r="B119" s="56"/>
      <c r="C119" s="38" t="s">
        <v>32</v>
      </c>
      <c r="D119" s="38" t="s">
        <v>276</v>
      </c>
      <c r="E119" s="38" t="s">
        <v>93</v>
      </c>
      <c r="H119" s="25"/>
      <c r="I119" s="25"/>
      <c r="J119" s="25"/>
      <c r="K119" s="25"/>
      <c r="L119" s="25"/>
      <c r="M119" s="27"/>
      <c r="N119" s="27"/>
      <c r="O119" s="27"/>
      <c r="P119" s="27"/>
      <c r="Q119" s="27"/>
      <c r="R119" s="27"/>
    </row>
    <row r="120" spans="1:18" customFormat="1" ht="30.6" customHeight="1" x14ac:dyDescent="0.25">
      <c r="A120" s="863" t="s">
        <v>85</v>
      </c>
      <c r="B120" s="864"/>
      <c r="C120" s="562">
        <f>IF(B9&lt;50,IF(J33&gt;C33,C33,J33),0)</f>
        <v>0</v>
      </c>
      <c r="D120" s="563">
        <f>'TABLE DES TAUX 2026 '!D26</f>
        <v>1E-3</v>
      </c>
      <c r="E120" s="562">
        <f t="shared" ref="E120:E129" si="2">ROUND(C120*D120,2)</f>
        <v>0</v>
      </c>
      <c r="G120" s="480"/>
      <c r="H120" s="25"/>
      <c r="I120" s="25"/>
      <c r="J120" s="25"/>
      <c r="K120" s="25"/>
      <c r="L120" s="25"/>
      <c r="M120" s="27"/>
      <c r="N120" s="27"/>
      <c r="O120" s="27"/>
      <c r="P120" s="27"/>
      <c r="Q120" s="27"/>
      <c r="R120" s="27"/>
    </row>
    <row r="121" spans="1:18" customFormat="1" ht="30.6" customHeight="1" x14ac:dyDescent="0.3">
      <c r="A121" s="863" t="s">
        <v>86</v>
      </c>
      <c r="B121" s="864"/>
      <c r="C121" s="562">
        <f>IF(B9&gt;=50,J33,0)</f>
        <v>2694.8318181818181</v>
      </c>
      <c r="D121" s="563">
        <f>'TABLE DES TAUX 2026 '!D27</f>
        <v>5.0000000000000001E-3</v>
      </c>
      <c r="E121" s="562">
        <f t="shared" si="2"/>
        <v>13.47</v>
      </c>
      <c r="G121" s="481"/>
      <c r="H121" s="25"/>
      <c r="I121" s="25"/>
      <c r="J121" s="25"/>
      <c r="K121" s="25"/>
      <c r="L121" s="25"/>
      <c r="M121" s="27"/>
      <c r="N121" s="27"/>
      <c r="O121" s="27"/>
      <c r="P121" s="27"/>
      <c r="Q121" s="27"/>
      <c r="R121" s="27"/>
    </row>
    <row r="122" spans="1:18" customFormat="1" ht="30.6" customHeight="1" x14ac:dyDescent="0.25">
      <c r="A122" s="863" t="s">
        <v>266</v>
      </c>
      <c r="B122" s="864"/>
      <c r="C122" s="562">
        <f>IF(B9&gt;=11,J33,0)</f>
        <v>2694.8318181818181</v>
      </c>
      <c r="D122" s="563">
        <f>+'MASQUE DE SAISIE '!H22</f>
        <v>3.2000000000000001E-2</v>
      </c>
      <c r="E122" s="562">
        <f t="shared" si="2"/>
        <v>86.23</v>
      </c>
      <c r="G122" s="480"/>
      <c r="H122" s="25"/>
      <c r="I122" s="25"/>
      <c r="J122" s="25"/>
      <c r="K122" s="25"/>
      <c r="L122" s="25"/>
      <c r="M122" s="27"/>
      <c r="N122" s="27"/>
      <c r="O122" s="27"/>
      <c r="P122" s="27"/>
      <c r="Q122" s="27"/>
      <c r="R122" s="27"/>
    </row>
    <row r="123" spans="1:18" customFormat="1" ht="30.6" customHeight="1" x14ac:dyDescent="0.25">
      <c r="A123" s="863" t="s">
        <v>71</v>
      </c>
      <c r="B123" s="864"/>
      <c r="C123" s="562">
        <f>J33</f>
        <v>2694.8318181818181</v>
      </c>
      <c r="D123" s="563">
        <f>'TABLE DES TAUX 2026 '!D29</f>
        <v>3.0000000000000001E-3</v>
      </c>
      <c r="E123" s="562">
        <f t="shared" si="2"/>
        <v>8.08</v>
      </c>
      <c r="H123" s="25"/>
      <c r="I123" s="25"/>
      <c r="J123" s="25"/>
      <c r="K123" s="25"/>
      <c r="L123" s="25"/>
      <c r="M123" s="27"/>
      <c r="N123" s="27"/>
      <c r="O123" s="27"/>
      <c r="P123" s="27"/>
      <c r="Q123" s="27"/>
      <c r="R123" s="27"/>
    </row>
    <row r="124" spans="1:18" customFormat="1" ht="30.6" customHeight="1" x14ac:dyDescent="0.25">
      <c r="A124" s="863" t="s">
        <v>83</v>
      </c>
      <c r="B124" s="864"/>
      <c r="C124" s="562">
        <f>IF(B9&gt;=11, IF(I9=2,G43+G44+G75,G40+G74),0)</f>
        <v>107.8</v>
      </c>
      <c r="D124" s="563">
        <f>'TABLE DES TAUX 2026 '!D30</f>
        <v>0.08</v>
      </c>
      <c r="E124" s="562">
        <f t="shared" si="2"/>
        <v>8.6199999999999992</v>
      </c>
      <c r="H124" s="27"/>
      <c r="I124" s="27"/>
      <c r="J124" s="25"/>
      <c r="K124" s="25"/>
      <c r="L124" s="25"/>
      <c r="M124" s="27"/>
      <c r="N124" s="27"/>
      <c r="O124" s="27"/>
      <c r="P124" s="27"/>
      <c r="Q124" s="27"/>
      <c r="R124" s="27"/>
    </row>
    <row r="125" spans="1:18" customFormat="1" ht="30.6" customHeight="1" x14ac:dyDescent="0.25">
      <c r="A125" s="863" t="s">
        <v>213</v>
      </c>
      <c r="B125" s="864"/>
      <c r="C125" s="562">
        <f>G77</f>
        <v>0</v>
      </c>
      <c r="D125" s="563">
        <f>'TABLE DES TAUX 2026 '!D31</f>
        <v>0.2</v>
      </c>
      <c r="E125" s="562">
        <f t="shared" si="2"/>
        <v>0</v>
      </c>
      <c r="H125" s="27"/>
      <c r="I125" s="27"/>
      <c r="J125" s="27"/>
      <c r="K125" s="27"/>
      <c r="L125" s="27"/>
      <c r="M125" s="27"/>
      <c r="N125" s="27"/>
      <c r="O125" s="27"/>
      <c r="P125" s="27"/>
      <c r="Q125" s="27"/>
      <c r="R125" s="27"/>
    </row>
    <row r="126" spans="1:18" customFormat="1" ht="30.6" customHeight="1" x14ac:dyDescent="0.25">
      <c r="A126" s="863" t="s">
        <v>72</v>
      </c>
      <c r="B126" s="864"/>
      <c r="C126" s="562">
        <f>+J33</f>
        <v>2694.8318181818181</v>
      </c>
      <c r="D126" s="563">
        <f>'TABLE DES TAUX 2026 '!D32</f>
        <v>1.6000000000000001E-4</v>
      </c>
      <c r="E126" s="562">
        <f t="shared" si="2"/>
        <v>0.43</v>
      </c>
      <c r="H126" s="27"/>
      <c r="I126" s="27"/>
      <c r="J126" s="27"/>
      <c r="K126" s="27"/>
      <c r="L126" s="27"/>
      <c r="M126" s="27"/>
      <c r="N126" s="27"/>
      <c r="O126" s="27"/>
      <c r="P126" s="27"/>
      <c r="Q126" s="27"/>
      <c r="R126" s="27"/>
    </row>
    <row r="127" spans="1:18" customFormat="1" ht="30.6" customHeight="1" x14ac:dyDescent="0.25">
      <c r="A127" s="863" t="s">
        <v>652</v>
      </c>
      <c r="B127" s="864"/>
      <c r="C127" s="562">
        <f>IF(B9&gt;=11,J33,0)</f>
        <v>2694.8318181818181</v>
      </c>
      <c r="D127" s="563">
        <f>'TABLE DES TAUX 2026 '!D33</f>
        <v>1.6800000000000002E-2</v>
      </c>
      <c r="E127" s="562">
        <f t="shared" si="2"/>
        <v>45.27</v>
      </c>
      <c r="H127" s="27"/>
      <c r="I127" s="27"/>
      <c r="J127" s="27"/>
      <c r="K127" s="27"/>
      <c r="L127" s="27"/>
      <c r="M127" s="27"/>
      <c r="N127" s="27"/>
      <c r="O127" s="27"/>
      <c r="P127" s="27"/>
      <c r="Q127" s="27"/>
      <c r="R127" s="27"/>
    </row>
    <row r="128" spans="1:18" customFormat="1" ht="30.6" customHeight="1" x14ac:dyDescent="0.25">
      <c r="A128" s="863" t="s">
        <v>653</v>
      </c>
      <c r="B128" s="864"/>
      <c r="C128" s="562">
        <f>IF(B9&lt;11,J33,0)</f>
        <v>0</v>
      </c>
      <c r="D128" s="563">
        <f>'TABLE DES TAUX 2026 '!D34</f>
        <v>1.2300000000000002E-2</v>
      </c>
      <c r="E128" s="562">
        <f t="shared" si="2"/>
        <v>0</v>
      </c>
      <c r="H128" s="27"/>
      <c r="I128" s="27"/>
      <c r="J128" s="27"/>
      <c r="K128" s="27"/>
      <c r="L128" s="27"/>
      <c r="M128" s="27"/>
      <c r="N128" s="27"/>
      <c r="O128" s="27"/>
      <c r="P128" s="27"/>
      <c r="Q128" s="27"/>
      <c r="R128" s="27"/>
    </row>
    <row r="129" spans="1:18" customFormat="1" ht="30.6" customHeight="1" x14ac:dyDescent="0.25">
      <c r="A129" s="863" t="s">
        <v>77</v>
      </c>
      <c r="B129" s="864"/>
      <c r="C129" s="562">
        <f>IF(B9&lt;50,0,J33)</f>
        <v>2694.8318181818181</v>
      </c>
      <c r="D129" s="563">
        <f>'TABLE DES TAUX 2026 '!D35</f>
        <v>4.4999999999999997E-3</v>
      </c>
      <c r="E129" s="562">
        <f t="shared" si="2"/>
        <v>12.13</v>
      </c>
      <c r="H129" s="27"/>
      <c r="I129" s="27"/>
      <c r="J129" s="27"/>
      <c r="K129" s="27"/>
      <c r="L129" s="27"/>
      <c r="M129" s="27"/>
      <c r="N129" s="27"/>
      <c r="O129" s="27"/>
      <c r="P129" s="27"/>
      <c r="Q129" s="27"/>
      <c r="R129" s="27"/>
    </row>
    <row r="130" spans="1:18" customFormat="1" ht="30.6" customHeight="1" x14ac:dyDescent="0.25">
      <c r="A130" s="27"/>
      <c r="B130" s="27"/>
      <c r="C130" s="104"/>
      <c r="D130" s="564"/>
      <c r="E130" s="562">
        <f>SUM(E120:E129)</f>
        <v>174.23000000000002</v>
      </c>
      <c r="G130" s="27"/>
      <c r="H130" s="27"/>
      <c r="I130" s="27"/>
      <c r="J130" s="27"/>
      <c r="K130" s="27"/>
      <c r="L130" s="27"/>
      <c r="M130" s="27"/>
      <c r="N130" s="27"/>
      <c r="O130" s="27"/>
      <c r="P130" s="27"/>
      <c r="Q130" s="27"/>
      <c r="R130" s="27"/>
    </row>
    <row r="131" spans="1:18" customFormat="1" x14ac:dyDescent="0.3">
      <c r="A131" s="217"/>
      <c r="B131" s="217"/>
      <c r="C131" s="214"/>
      <c r="D131" s="215"/>
      <c r="E131" s="215"/>
      <c r="F131" s="214"/>
      <c r="G131" s="214"/>
      <c r="H131" s="24"/>
      <c r="I131" s="24"/>
      <c r="J131" s="27"/>
      <c r="K131" s="27"/>
      <c r="L131" s="27"/>
      <c r="M131" s="27"/>
      <c r="N131" s="27"/>
      <c r="O131" s="27"/>
      <c r="P131" s="27"/>
      <c r="Q131" s="27"/>
      <c r="R131" s="27"/>
    </row>
  </sheetData>
  <mergeCells count="130">
    <mergeCell ref="A118:E118"/>
    <mergeCell ref="A120:B120"/>
    <mergeCell ref="A77:B77"/>
    <mergeCell ref="A45:B45"/>
    <mergeCell ref="A48:B48"/>
    <mergeCell ref="G5:J5"/>
    <mergeCell ref="A32:F32"/>
    <mergeCell ref="A126:B126"/>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M63:N63"/>
    <mergeCell ref="A59:B59"/>
    <mergeCell ref="A60:B60"/>
    <mergeCell ref="M60:N60"/>
    <mergeCell ref="A61:B61"/>
    <mergeCell ref="A62:B62"/>
    <mergeCell ref="A55:B55"/>
    <mergeCell ref="A56:B56"/>
    <mergeCell ref="A57:B57"/>
    <mergeCell ref="I57:J57"/>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F91:G91"/>
    <mergeCell ref="A90:I90"/>
    <mergeCell ref="J90:L90"/>
    <mergeCell ref="A87:C88"/>
    <mergeCell ref="D87:E87"/>
    <mergeCell ref="F87:G87"/>
    <mergeCell ref="D88:E88"/>
    <mergeCell ref="F88:G88"/>
    <mergeCell ref="A89:I89"/>
    <mergeCell ref="A43:B43"/>
    <mergeCell ref="A76:B76"/>
    <mergeCell ref="A75:B75"/>
    <mergeCell ref="A78:B78"/>
    <mergeCell ref="A47:B47"/>
    <mergeCell ref="A124:B124"/>
    <mergeCell ref="A127:B127"/>
    <mergeCell ref="A128:B128"/>
    <mergeCell ref="A129:B129"/>
    <mergeCell ref="A96:E96"/>
    <mergeCell ref="A125:B125"/>
    <mergeCell ref="A121:B121"/>
    <mergeCell ref="A122:B122"/>
    <mergeCell ref="A123:B123"/>
    <mergeCell ref="A83:I83"/>
    <mergeCell ref="A68:B68"/>
    <mergeCell ref="A69:B69"/>
    <mergeCell ref="A70:B70"/>
    <mergeCell ref="A71:B71"/>
    <mergeCell ref="A79:B79"/>
    <mergeCell ref="A80:B80"/>
    <mergeCell ref="A81:B81"/>
    <mergeCell ref="A82:B82"/>
    <mergeCell ref="D91:E91"/>
  </mergeCells>
  <dataValidations count="2">
    <dataValidation operator="equal" allowBlank="1" showErrorMessage="1" errorTitle="Smic minimum" error="attention tatal brut au minimum égal au smic pour 151,67 h" sqref="J33" xr:uid="{2C5AD047-8B29-4171-8233-A68D4A231CBF}">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E0E6A-243B-4E52-ABF4-23640E795882}">
  <dimension ref="A1:H48"/>
  <sheetViews>
    <sheetView topLeftCell="A17" workbookViewId="0">
      <selection activeCell="E25" sqref="E25"/>
    </sheetView>
  </sheetViews>
  <sheetFormatPr baseColWidth="10" defaultRowHeight="15" x14ac:dyDescent="0.25"/>
  <cols>
    <col min="2" max="2" width="26.5703125" customWidth="1"/>
    <col min="3" max="3" width="13" bestFit="1" customWidth="1"/>
  </cols>
  <sheetData>
    <row r="1" customFormat="1" x14ac:dyDescent="0.25"/>
    <row r="2" customFormat="1" x14ac:dyDescent="0.25"/>
    <row r="3" customFormat="1" x14ac:dyDescent="0.25"/>
    <row r="4" customFormat="1" x14ac:dyDescent="0.25"/>
    <row r="5" customFormat="1" x14ac:dyDescent="0.25"/>
    <row r="6" customFormat="1" x14ac:dyDescent="0.25"/>
    <row r="7" customFormat="1" x14ac:dyDescent="0.25"/>
    <row r="8" customFormat="1" x14ac:dyDescent="0.25"/>
    <row r="9" customFormat="1" x14ac:dyDescent="0.25"/>
    <row r="10" customFormat="1" x14ac:dyDescent="0.25"/>
    <row r="11" customFormat="1" x14ac:dyDescent="0.25"/>
    <row r="12" customFormat="1" x14ac:dyDescent="0.25"/>
    <row r="13" customFormat="1" x14ac:dyDescent="0.25"/>
    <row r="14" customFormat="1" x14ac:dyDescent="0.25"/>
    <row r="15" customFormat="1" x14ac:dyDescent="0.25"/>
    <row r="16" customFormat="1" x14ac:dyDescent="0.25"/>
    <row r="18" spans="2:8" s="181" customFormat="1" ht="30" customHeight="1" x14ac:dyDescent="0.25">
      <c r="B18" s="715" t="s">
        <v>759</v>
      </c>
      <c r="C18" s="715"/>
      <c r="D18" s="715"/>
      <c r="E18" s="715"/>
      <c r="F18" s="208"/>
      <c r="G18" s="208"/>
      <c r="H18" s="208"/>
    </row>
    <row r="19" spans="2:8" s="181" customFormat="1" ht="30" customHeight="1" x14ac:dyDescent="0.25">
      <c r="B19" s="711" t="s">
        <v>760</v>
      </c>
      <c r="C19" s="711"/>
      <c r="D19" s="711"/>
      <c r="E19" s="711"/>
      <c r="F19" s="208"/>
      <c r="G19" s="208"/>
      <c r="H19" s="208"/>
    </row>
    <row r="20" spans="2:8" s="181" customFormat="1" ht="30" customHeight="1" x14ac:dyDescent="0.25">
      <c r="B20" s="711" t="s">
        <v>761</v>
      </c>
      <c r="C20" s="711"/>
      <c r="D20" s="711"/>
      <c r="E20" s="673">
        <f>+'TABLE DES TAUX 2026 '!C53</f>
        <v>12.02</v>
      </c>
      <c r="F20" s="208"/>
      <c r="G20" s="208"/>
      <c r="H20" s="208"/>
    </row>
    <row r="21" spans="2:8" s="181" customFormat="1" ht="30" customHeight="1" x14ac:dyDescent="0.25">
      <c r="B21" s="711" t="s">
        <v>281</v>
      </c>
      <c r="C21" s="711"/>
      <c r="D21" s="711"/>
      <c r="E21" s="674">
        <f>+'BP VERSION JANVIER 2023'!B9</f>
        <v>60</v>
      </c>
      <c r="F21" s="208"/>
      <c r="G21" s="208"/>
      <c r="H21" s="208"/>
    </row>
    <row r="22" spans="2:8" s="181" customFormat="1" ht="30" customHeight="1" x14ac:dyDescent="0.25">
      <c r="B22" s="711" t="s">
        <v>762</v>
      </c>
      <c r="C22" s="711"/>
      <c r="D22" s="711"/>
      <c r="E22" s="38">
        <f>+'TABLE DES TAUX 2026 '!C60</f>
        <v>0.37809999999999999</v>
      </c>
      <c r="F22" s="709" t="s">
        <v>763</v>
      </c>
      <c r="G22" s="708"/>
      <c r="H22" s="708"/>
    </row>
    <row r="23" spans="2:8" s="181" customFormat="1" ht="30" customHeight="1" x14ac:dyDescent="0.25">
      <c r="B23" s="711"/>
      <c r="C23" s="711"/>
      <c r="D23" s="711"/>
      <c r="E23" s="38">
        <f>+'TABLE DES TAUX 2026 '!D60</f>
        <v>0.3821</v>
      </c>
      <c r="F23" s="709" t="s">
        <v>764</v>
      </c>
      <c r="G23" s="708"/>
      <c r="H23" s="708"/>
    </row>
    <row r="24" spans="2:8" s="181" customFormat="1" ht="30" customHeight="1" x14ac:dyDescent="0.25">
      <c r="B24" s="711" t="s">
        <v>13</v>
      </c>
      <c r="C24" s="711"/>
      <c r="D24" s="711"/>
      <c r="E24" s="488">
        <f>+'BP VERSION JANVIER 2023'!B10</f>
        <v>125.58</v>
      </c>
      <c r="F24" s="208"/>
      <c r="G24" s="208"/>
      <c r="H24" s="208"/>
    </row>
    <row r="25" spans="2:8" s="181" customFormat="1" ht="30" customHeight="1" x14ac:dyDescent="0.25">
      <c r="B25" s="711" t="s">
        <v>765</v>
      </c>
      <c r="C25" s="711"/>
      <c r="D25" s="711"/>
      <c r="E25" s="675">
        <f>+'BP VERSION JANVIER 2023'!J33</f>
        <v>2694.8318181818181</v>
      </c>
      <c r="F25" s="208"/>
      <c r="G25" s="208"/>
      <c r="H25" s="208"/>
    </row>
    <row r="26" spans="2:8" s="181" customFormat="1" ht="15.75" x14ac:dyDescent="0.25"/>
    <row r="27" spans="2:8" s="181" customFormat="1" ht="15.75" x14ac:dyDescent="0.25"/>
    <row r="28" spans="2:8" s="181" customFormat="1" ht="15.75" x14ac:dyDescent="0.25"/>
    <row r="29" spans="2:8" s="181" customFormat="1" ht="15.75" x14ac:dyDescent="0.25"/>
    <row r="30" spans="2:8" s="181" customFormat="1" ht="15.75" x14ac:dyDescent="0.25"/>
    <row r="31" spans="2:8" s="181" customFormat="1" ht="15.75" x14ac:dyDescent="0.25"/>
    <row r="32" spans="2:8" s="181" customFormat="1" ht="15.75" x14ac:dyDescent="0.25"/>
    <row r="33" spans="1:7" s="181" customFormat="1" ht="15.75" x14ac:dyDescent="0.25"/>
    <row r="34" spans="1:7" s="181" customFormat="1" ht="15.75" x14ac:dyDescent="0.25"/>
    <row r="35" spans="1:7" s="208" customFormat="1" ht="33.75" customHeight="1" x14ac:dyDescent="0.25">
      <c r="A35" s="38" t="s">
        <v>283</v>
      </c>
      <c r="B35" s="38" t="s">
        <v>766</v>
      </c>
      <c r="C35" s="676">
        <v>0.02</v>
      </c>
    </row>
    <row r="36" spans="1:7" s="208" customFormat="1" ht="33.75" customHeight="1" x14ac:dyDescent="0.25">
      <c r="A36" s="38" t="s">
        <v>247</v>
      </c>
      <c r="B36" s="38" t="s">
        <v>767</v>
      </c>
      <c r="C36" s="38">
        <f>IF(E21&gt;=50,E23,E22)</f>
        <v>0.3821</v>
      </c>
      <c r="D36" s="711" t="s">
        <v>768</v>
      </c>
      <c r="E36" s="711"/>
      <c r="F36" s="711"/>
      <c r="G36" s="711"/>
    </row>
    <row r="37" spans="1:7" s="208" customFormat="1" ht="33.75" customHeight="1" x14ac:dyDescent="0.25">
      <c r="A37" s="38" t="s">
        <v>212</v>
      </c>
      <c r="B37" s="38" t="s">
        <v>769</v>
      </c>
      <c r="C37" s="38">
        <f>3*E20*E24</f>
        <v>4528.4148000000005</v>
      </c>
    </row>
    <row r="38" spans="1:7" s="208" customFormat="1" ht="33.75" customHeight="1" x14ac:dyDescent="0.25">
      <c r="A38" s="38" t="s">
        <v>248</v>
      </c>
      <c r="B38" s="38" t="s">
        <v>770</v>
      </c>
      <c r="C38" s="38">
        <f>E25</f>
        <v>2694.8318181818181</v>
      </c>
    </row>
    <row r="39" spans="1:7" s="208" customFormat="1" ht="33.75" customHeight="1" x14ac:dyDescent="0.25">
      <c r="A39" s="38" t="s">
        <v>771</v>
      </c>
      <c r="B39" s="38" t="s">
        <v>249</v>
      </c>
      <c r="C39" s="38">
        <f>C37/C38</f>
        <v>1.6804072036878674</v>
      </c>
    </row>
    <row r="40" spans="1:7" s="208" customFormat="1" ht="33.75" customHeight="1" x14ac:dyDescent="0.25">
      <c r="A40" s="38" t="s">
        <v>250</v>
      </c>
      <c r="B40" s="38" t="s">
        <v>772</v>
      </c>
      <c r="C40" s="38">
        <f>IF((C39-1)&lt;0,0,C39-1)</f>
        <v>0.68040720368786745</v>
      </c>
    </row>
    <row r="41" spans="1:7" s="208" customFormat="1" ht="33.75" customHeight="1" x14ac:dyDescent="0.25">
      <c r="A41" s="38" t="s">
        <v>773</v>
      </c>
      <c r="B41" s="38" t="s">
        <v>251</v>
      </c>
      <c r="C41" s="38">
        <f>C40/2</f>
        <v>0.34020360184393372</v>
      </c>
    </row>
    <row r="42" spans="1:7" s="208" customFormat="1" ht="33.75" customHeight="1" x14ac:dyDescent="0.25">
      <c r="A42" s="38" t="s">
        <v>279</v>
      </c>
      <c r="B42" s="38" t="s">
        <v>774</v>
      </c>
      <c r="C42" s="38">
        <f>POWER(C41,1.75)</f>
        <v>0.15154551495902402</v>
      </c>
    </row>
    <row r="43" spans="1:7" s="208" customFormat="1" ht="33.75" customHeight="1" x14ac:dyDescent="0.25">
      <c r="A43" s="38" t="s">
        <v>280</v>
      </c>
      <c r="B43" s="38" t="s">
        <v>775</v>
      </c>
      <c r="C43" s="38">
        <f>IF($E$21&lt;50,$E$22*C42,$E$23*C42)</f>
        <v>5.7905541265843075E-2</v>
      </c>
    </row>
    <row r="44" spans="1:7" s="208" customFormat="1" ht="33.75" customHeight="1" x14ac:dyDescent="0.25">
      <c r="A44" s="38" t="s">
        <v>776</v>
      </c>
      <c r="B44" s="38" t="s">
        <v>777</v>
      </c>
      <c r="C44" s="677">
        <f>ROUND(IF((C35+C43)=0.02,0,C35+C43),4)</f>
        <v>7.7899999999999997E-2</v>
      </c>
      <c r="D44" s="711"/>
      <c r="E44" s="711"/>
      <c r="F44" s="711"/>
      <c r="G44" s="711"/>
    </row>
    <row r="45" spans="1:7" s="208" customFormat="1" ht="33.75" customHeight="1" x14ac:dyDescent="0.25">
      <c r="A45" s="38" t="s">
        <v>778</v>
      </c>
      <c r="B45" s="38" t="s">
        <v>779</v>
      </c>
      <c r="C45" s="672">
        <f>ROUND(C44*E25,2)</f>
        <v>209.93</v>
      </c>
      <c r="D45" s="711" t="s">
        <v>780</v>
      </c>
      <c r="E45" s="711"/>
      <c r="F45" s="711"/>
      <c r="G45" s="711"/>
    </row>
    <row r="46" spans="1:7" s="181" customFormat="1" ht="15.75" x14ac:dyDescent="0.25"/>
    <row r="47" spans="1:7" s="27" customFormat="1" ht="15.75" x14ac:dyDescent="0.25"/>
    <row r="48" spans="1:7" s="27"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3"/>
  <sheetViews>
    <sheetView topLeftCell="B1" zoomScale="110" zoomScaleNormal="110" workbookViewId="0">
      <selection activeCell="D7" sqref="D7"/>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6" t="s">
        <v>409</v>
      </c>
    </row>
    <row r="2" spans="2:9" x14ac:dyDescent="0.25">
      <c r="B2" s="56"/>
    </row>
    <row r="3" spans="2:9" s="56" customFormat="1" x14ac:dyDescent="0.25"/>
    <row r="4" spans="2:9" s="56" customFormat="1" x14ac:dyDescent="0.25">
      <c r="B4" s="944" t="s">
        <v>410</v>
      </c>
      <c r="E4" s="56" t="s">
        <v>415</v>
      </c>
    </row>
    <row r="5" spans="2:9" s="56" customFormat="1" x14ac:dyDescent="0.25">
      <c r="B5" s="944"/>
      <c r="D5" s="439"/>
      <c r="E5" s="56" t="s">
        <v>832</v>
      </c>
    </row>
    <row r="6" spans="2:9" s="56" customFormat="1" x14ac:dyDescent="0.25"/>
    <row r="7" spans="2:9" s="56" customFormat="1" x14ac:dyDescent="0.25"/>
    <row r="8" spans="2:9" s="56" customFormat="1" x14ac:dyDescent="0.25">
      <c r="B8" s="938" t="s">
        <v>387</v>
      </c>
      <c r="D8" s="937" t="s">
        <v>389</v>
      </c>
      <c r="E8" s="937"/>
      <c r="F8" s="937"/>
      <c r="G8" s="450">
        <f>'BP VERSION JANVIER 2023'!J33</f>
        <v>2694.8318181818181</v>
      </c>
    </row>
    <row r="9" spans="2:9" s="56" customFormat="1" ht="25.5" customHeight="1" x14ac:dyDescent="0.25">
      <c r="B9" s="938"/>
      <c r="D9" s="446" t="s">
        <v>390</v>
      </c>
      <c r="E9" s="366"/>
      <c r="F9" s="366"/>
      <c r="G9" s="450">
        <f>-'BP VERSION JANVIER 2023'!F73</f>
        <v>-597.54</v>
      </c>
    </row>
    <row r="10" spans="2:9" s="56" customFormat="1" ht="15" customHeight="1" x14ac:dyDescent="0.25">
      <c r="B10" s="938"/>
      <c r="D10" s="788" t="s">
        <v>406</v>
      </c>
      <c r="E10" s="939"/>
      <c r="F10" s="789"/>
      <c r="G10" s="450">
        <f>-'BP VERSION JANVIER 2023'!F74</f>
        <v>-132</v>
      </c>
    </row>
    <row r="11" spans="2:9" s="56" customFormat="1" ht="15" customHeight="1" x14ac:dyDescent="0.25">
      <c r="B11" s="938"/>
      <c r="D11" s="788" t="s">
        <v>55</v>
      </c>
      <c r="E11" s="939"/>
      <c r="F11" s="789"/>
      <c r="G11" s="450">
        <f>'BP VERSION JANVIER 2023'!F75</f>
        <v>45.8</v>
      </c>
      <c r="I11" s="56" t="s">
        <v>416</v>
      </c>
    </row>
    <row r="12" spans="2:9" s="56" customFormat="1" ht="25.5" customHeight="1" x14ac:dyDescent="0.25">
      <c r="B12" s="938"/>
      <c r="G12" s="450"/>
    </row>
    <row r="13" spans="2:9" s="56" customFormat="1" x14ac:dyDescent="0.25">
      <c r="B13" s="938"/>
      <c r="D13" s="940" t="s">
        <v>785</v>
      </c>
      <c r="E13" s="941"/>
      <c r="F13" s="942"/>
      <c r="G13" s="452">
        <f>'BP VERSION JANVIER 2023'!F76</f>
        <v>-119.55000000000001</v>
      </c>
    </row>
    <row r="14" spans="2:9" s="56" customFormat="1" x14ac:dyDescent="0.25">
      <c r="B14" s="938"/>
      <c r="G14" s="440">
        <f>SUM(G8:G13)</f>
        <v>1891.5418181818181</v>
      </c>
      <c r="H14" s="450">
        <f>'BP VERSION JANVIER 2023'!J78</f>
        <v>1891.5418181818184</v>
      </c>
      <c r="I14" s="450">
        <f>'BP FORMAT JUILLET 2023'!J83</f>
        <v>1891.5418181818186</v>
      </c>
    </row>
    <row r="15" spans="2:9" s="56" customFormat="1" x14ac:dyDescent="0.25">
      <c r="B15" s="445"/>
    </row>
    <row r="16" spans="2:9" s="56" customFormat="1" x14ac:dyDescent="0.25"/>
    <row r="17" spans="2:9" s="56" customFormat="1" x14ac:dyDescent="0.25">
      <c r="B17" s="938" t="s">
        <v>61</v>
      </c>
      <c r="D17" s="937" t="s">
        <v>389</v>
      </c>
      <c r="E17" s="937"/>
      <c r="F17" s="937"/>
      <c r="G17" s="450">
        <f>'BP VERSION JANVIER 2023'!J33</f>
        <v>2694.8318181818181</v>
      </c>
    </row>
    <row r="18" spans="2:9" s="56" customFormat="1" x14ac:dyDescent="0.25">
      <c r="B18" s="938"/>
      <c r="D18" s="894" t="s">
        <v>390</v>
      </c>
      <c r="E18" s="894"/>
      <c r="F18" s="894"/>
      <c r="G18" s="450">
        <f>-'BP VERSION JANVIER 2023'!F73</f>
        <v>-597.54</v>
      </c>
    </row>
    <row r="19" spans="2:9" s="56" customFormat="1" x14ac:dyDescent="0.25">
      <c r="B19" s="938"/>
      <c r="D19" s="937" t="s">
        <v>391</v>
      </c>
      <c r="E19" s="937"/>
      <c r="F19" s="937"/>
      <c r="G19" s="450">
        <f>'BP VERSION JANVIER 2023'!G41</f>
        <v>53.9</v>
      </c>
    </row>
    <row r="20" spans="2:9" s="56" customFormat="1" x14ac:dyDescent="0.25">
      <c r="B20" s="938"/>
      <c r="D20" s="788" t="s">
        <v>654</v>
      </c>
      <c r="E20" s="939"/>
      <c r="F20" s="789"/>
      <c r="G20" s="450">
        <f>-'BP FORMAT JUILLET 2023'!J21</f>
        <v>-257.10000000000002</v>
      </c>
    </row>
    <row r="21" spans="2:9" s="56" customFormat="1" x14ac:dyDescent="0.25">
      <c r="B21" s="938"/>
      <c r="D21" s="937" t="s">
        <v>392</v>
      </c>
      <c r="E21" s="937"/>
      <c r="F21" s="937"/>
      <c r="G21" s="450">
        <f>'BP FORMAT JUILLET 2023'!F66+'BP FORMAT JUILLET 2023'!F67+'BP FORMAT JUILLET 2023'!F69</f>
        <v>97.089999999999989</v>
      </c>
    </row>
    <row r="22" spans="2:9" s="56" customFormat="1" x14ac:dyDescent="0.25">
      <c r="B22" s="938"/>
      <c r="G22" s="440">
        <f>SUM(G17:G21)</f>
        <v>1991.1818181818182</v>
      </c>
      <c r="H22" s="450">
        <f>'BP VERSION JANVIER 2023'!J86</f>
        <v>1991.181818181818</v>
      </c>
      <c r="I22" s="450">
        <f>'BP FORMAT JUILLET 2023'!J84</f>
        <v>1991.181818181818</v>
      </c>
    </row>
    <row r="23" spans="2:9" s="56" customFormat="1" x14ac:dyDescent="0.25">
      <c r="B23" s="445"/>
      <c r="G23" s="426"/>
    </row>
    <row r="24" spans="2:9" s="56" customFormat="1" x14ac:dyDescent="0.25"/>
    <row r="25" spans="2:9" s="56" customFormat="1" x14ac:dyDescent="0.25">
      <c r="B25" s="945" t="s">
        <v>393</v>
      </c>
      <c r="D25" s="937" t="s">
        <v>61</v>
      </c>
      <c r="E25" s="937"/>
      <c r="F25" s="937"/>
      <c r="G25" s="440">
        <f>'BP VERSION JANVIER 2023'!J86</f>
        <v>1991.181818181818</v>
      </c>
    </row>
    <row r="26" spans="2:9" s="56" customFormat="1" x14ac:dyDescent="0.25">
      <c r="B26" s="945"/>
      <c r="D26" s="937" t="s">
        <v>407</v>
      </c>
      <c r="E26" s="937"/>
      <c r="F26" s="937"/>
      <c r="G26" s="447"/>
    </row>
    <row r="27" spans="2:9" s="56" customFormat="1" x14ac:dyDescent="0.25">
      <c r="B27" s="945"/>
      <c r="D27" s="943" t="s">
        <v>408</v>
      </c>
      <c r="E27" s="943"/>
      <c r="F27" s="943"/>
      <c r="G27" s="447"/>
    </row>
    <row r="28" spans="2:9" s="56" customFormat="1" x14ac:dyDescent="0.25">
      <c r="B28" s="945"/>
      <c r="G28" s="440">
        <f>SUM(G25:G27)</f>
        <v>1991.181818181818</v>
      </c>
      <c r="H28" s="450">
        <f>'BP VERSION JANVIER 2023'!D83</f>
        <v>1991.181818181818</v>
      </c>
      <c r="I28" s="450">
        <f>'BP FORMAT JUILLET 2023'!D88</f>
        <v>1991.181818181818</v>
      </c>
    </row>
    <row r="29" spans="2:9" s="56" customFormat="1" x14ac:dyDescent="0.25"/>
    <row r="30" spans="2:9" s="56" customFormat="1" x14ac:dyDescent="0.25">
      <c r="B30" s="938" t="s">
        <v>394</v>
      </c>
    </row>
    <row r="31" spans="2:9" s="56" customFormat="1" x14ac:dyDescent="0.25">
      <c r="B31" s="938"/>
      <c r="D31" s="937" t="s">
        <v>391</v>
      </c>
      <c r="E31" s="937"/>
      <c r="F31" s="937"/>
      <c r="G31" s="450">
        <f>'BP VERSION JANVIER 2023'!G38</f>
        <v>53.9</v>
      </c>
    </row>
    <row r="32" spans="2:9" s="56" customFormat="1" x14ac:dyDescent="0.25">
      <c r="B32" s="938"/>
      <c r="D32" s="937" t="s">
        <v>395</v>
      </c>
      <c r="E32" s="937"/>
      <c r="F32" s="937"/>
      <c r="G32" s="450"/>
    </row>
    <row r="33" spans="2:10" s="56" customFormat="1" x14ac:dyDescent="0.25">
      <c r="B33" s="938"/>
      <c r="D33" s="937" t="s">
        <v>396</v>
      </c>
      <c r="E33" s="937"/>
      <c r="F33" s="937"/>
      <c r="G33" s="450">
        <f>'BP VERSION JANVIER 2023'!G41</f>
        <v>53.9</v>
      </c>
    </row>
    <row r="34" spans="2:10" s="56" customFormat="1" x14ac:dyDescent="0.25">
      <c r="G34" s="440">
        <f>SUM(G31:G33)</f>
        <v>107.8</v>
      </c>
      <c r="H34" s="447">
        <f>'BP VERSION JANVIER 2023'!C112</f>
        <v>107.8</v>
      </c>
      <c r="I34" s="447">
        <f>'BP FORMAT JUILLET 2023'!C124</f>
        <v>107.8</v>
      </c>
    </row>
    <row r="35" spans="2:10" s="56" customFormat="1" x14ac:dyDescent="0.25">
      <c r="G35" s="426"/>
      <c r="H35" s="425"/>
      <c r="I35" s="425"/>
    </row>
    <row r="36" spans="2:10" s="56" customFormat="1" x14ac:dyDescent="0.25">
      <c r="B36" s="938" t="s">
        <v>397</v>
      </c>
      <c r="D36" s="937" t="s">
        <v>398</v>
      </c>
      <c r="E36" s="937"/>
      <c r="F36" s="937"/>
      <c r="G36" s="525">
        <f>('BP VERSION JANVIER 2023'!J13+'BP VERSION JANVIER 2023'!J23+'BP VERSION JANVIER 2023'!J17)*0.9825</f>
        <v>2395.0715113636365</v>
      </c>
      <c r="H36" s="56" t="s">
        <v>800</v>
      </c>
    </row>
    <row r="37" spans="2:10" s="56" customFormat="1" x14ac:dyDescent="0.25">
      <c r="B37" s="938"/>
      <c r="D37" s="937" t="s">
        <v>399</v>
      </c>
      <c r="E37" s="937"/>
      <c r="F37" s="937"/>
      <c r="G37" s="453">
        <f>G31</f>
        <v>53.9</v>
      </c>
    </row>
    <row r="38" spans="2:10" s="56" customFormat="1" x14ac:dyDescent="0.25">
      <c r="B38" s="938"/>
      <c r="D38" s="937" t="s">
        <v>417</v>
      </c>
      <c r="E38" s="937"/>
      <c r="F38" s="937"/>
      <c r="G38" s="453">
        <f>G33</f>
        <v>53.9</v>
      </c>
    </row>
    <row r="39" spans="2:10" s="56" customFormat="1" x14ac:dyDescent="0.25">
      <c r="B39" s="938"/>
      <c r="G39" s="441">
        <f>SUM(G36:G38)</f>
        <v>2502.8715113636367</v>
      </c>
      <c r="H39" s="450">
        <f>'BP VERSION JANVIER 2023'!C66</f>
        <v>2502.8715113636367</v>
      </c>
      <c r="I39" s="450">
        <f>'BP FORMAT JUILLET 2023'!C65</f>
        <v>2502.8715113636367</v>
      </c>
      <c r="J39" s="526">
        <f>G39-H39</f>
        <v>0</v>
      </c>
    </row>
    <row r="40" spans="2:10" s="56" customFormat="1" x14ac:dyDescent="0.25"/>
    <row r="41" spans="2:10" x14ac:dyDescent="0.25">
      <c r="B41" s="56"/>
      <c r="C41" s="366" t="s">
        <v>400</v>
      </c>
      <c r="D41" s="56"/>
      <c r="E41" s="366" t="s">
        <v>401</v>
      </c>
      <c r="F41" s="56"/>
      <c r="G41" s="292" t="s">
        <v>402</v>
      </c>
    </row>
    <row r="42" spans="2:10" s="56" customFormat="1" x14ac:dyDescent="0.25">
      <c r="B42" s="56" t="s">
        <v>387</v>
      </c>
      <c r="C42" s="440">
        <f>H14</f>
        <v>1891.5418181818184</v>
      </c>
      <c r="E42" s="440">
        <f>I14</f>
        <v>1891.5418181818186</v>
      </c>
      <c r="G42" s="440">
        <f>C42-E42</f>
        <v>0</v>
      </c>
    </row>
    <row r="43" spans="2:10" s="56" customFormat="1" x14ac:dyDescent="0.25">
      <c r="B43" s="56" t="s">
        <v>61</v>
      </c>
      <c r="C43" s="440">
        <f>'BP VERSION JANVIER 2023'!J86</f>
        <v>1991.181818181818</v>
      </c>
      <c r="E43" s="440">
        <f>I22</f>
        <v>1991.181818181818</v>
      </c>
      <c r="G43" s="440">
        <f t="shared" ref="G43:G49" si="0">C43-E43</f>
        <v>0</v>
      </c>
    </row>
    <row r="44" spans="2:10" s="56" customFormat="1" x14ac:dyDescent="0.25">
      <c r="B44" s="56" t="s">
        <v>393</v>
      </c>
      <c r="C44" s="440">
        <f>G28</f>
        <v>1991.181818181818</v>
      </c>
      <c r="E44" s="441">
        <f>I28</f>
        <v>1991.181818181818</v>
      </c>
      <c r="G44" s="440">
        <f t="shared" si="0"/>
        <v>0</v>
      </c>
    </row>
    <row r="45" spans="2:10" s="56" customFormat="1" x14ac:dyDescent="0.25">
      <c r="B45" s="56" t="s">
        <v>411</v>
      </c>
      <c r="C45" s="440">
        <f>H34</f>
        <v>107.8</v>
      </c>
      <c r="E45" s="431">
        <f>'BP FORMAT JUILLET 2023'!C124</f>
        <v>107.8</v>
      </c>
      <c r="G45" s="440">
        <f t="shared" si="0"/>
        <v>0</v>
      </c>
    </row>
    <row r="46" spans="2:10" s="56" customFormat="1" x14ac:dyDescent="0.25">
      <c r="B46" s="56" t="s">
        <v>403</v>
      </c>
      <c r="C46" s="447">
        <f>'BP VERSION JANVIER 2023'!F73</f>
        <v>597.54</v>
      </c>
      <c r="E46" s="450">
        <f>'BP FORMAT JUILLET 2023'!F72+'BP FORMAT JUILLET 2023'!F74+'BP FORMAT JUILLET 2023'!F75</f>
        <v>597.54</v>
      </c>
      <c r="G46" s="440">
        <f t="shared" si="0"/>
        <v>0</v>
      </c>
    </row>
    <row r="47" spans="2:10" x14ac:dyDescent="0.25">
      <c r="B47" s="56" t="s">
        <v>404</v>
      </c>
      <c r="C47" s="448">
        <f>'BP VERSION JANVIER 2023'!G73</f>
        <v>1164.06</v>
      </c>
      <c r="E47" s="448">
        <f>'BP FORMAT JUILLET 2023'!G72+'BP FORMAT JUILLET 2023'!G74+'BP FORMAT JUILLET 2023'!G75+'BP FORMAT JUILLET 2023'!G76+'BP FORMAT JUILLET 2023'!G77</f>
        <v>1164.06</v>
      </c>
      <c r="G47" s="440">
        <f t="shared" si="0"/>
        <v>0</v>
      </c>
    </row>
    <row r="48" spans="2:10" x14ac:dyDescent="0.25">
      <c r="B48" s="56" t="s">
        <v>412</v>
      </c>
      <c r="C48" s="451">
        <f>H39</f>
        <v>2502.8715113636367</v>
      </c>
      <c r="E48" s="451">
        <f>I39</f>
        <v>2502.8715113636367</v>
      </c>
      <c r="G48" s="440">
        <f t="shared" si="0"/>
        <v>0</v>
      </c>
    </row>
    <row r="49" spans="2:7" x14ac:dyDescent="0.25">
      <c r="B49" s="56" t="s">
        <v>405</v>
      </c>
      <c r="C49" s="448">
        <f>'BP VERSION JANVIER 2023'!G71</f>
        <v>-214.93</v>
      </c>
      <c r="E49" s="449">
        <f>'BP FORMAT JUILLET 2023'!G70</f>
        <v>-214.93</v>
      </c>
      <c r="G49" s="440">
        <f t="shared" si="0"/>
        <v>0</v>
      </c>
    </row>
    <row r="52" spans="2:7" x14ac:dyDescent="0.25">
      <c r="B52" s="56" t="s">
        <v>413</v>
      </c>
    </row>
    <row r="53" spans="2:7" x14ac:dyDescent="0.25">
      <c r="B53" s="56" t="s">
        <v>414</v>
      </c>
    </row>
  </sheetData>
  <mergeCells count="24">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41" workbookViewId="0">
      <selection activeCell="F60" sqref="F60"/>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6" width="9.5703125" style="589" customWidth="1"/>
    <col min="7" max="7" width="9.5703125" style="214" customWidth="1"/>
    <col min="8" max="9" width="9.5703125" style="24" customWidth="1"/>
    <col min="10" max="10" width="13" style="24" customWidth="1"/>
    <col min="11" max="16384" width="13.42578125" style="24"/>
  </cols>
  <sheetData>
    <row r="1" spans="1:10" ht="18" hidden="1" x14ac:dyDescent="0.3">
      <c r="A1" s="947" t="s">
        <v>698</v>
      </c>
      <c r="B1" s="948"/>
      <c r="C1" s="948"/>
      <c r="D1" s="948"/>
      <c r="E1" s="948"/>
      <c r="F1" s="948"/>
      <c r="G1" s="948"/>
      <c r="H1" s="948"/>
      <c r="I1" s="948"/>
      <c r="J1" s="949"/>
    </row>
    <row r="2" spans="1:10" ht="29.45" customHeight="1" x14ac:dyDescent="0.3">
      <c r="A2" s="950" t="s">
        <v>700</v>
      </c>
      <c r="B2" s="950"/>
      <c r="C2" s="950"/>
      <c r="D2" s="950"/>
      <c r="E2" s="950"/>
      <c r="F2" s="950"/>
      <c r="G2" s="950"/>
      <c r="H2" s="950"/>
      <c r="I2" s="950"/>
      <c r="J2" s="950"/>
    </row>
    <row r="3" spans="1:10" ht="23.45" customHeight="1" x14ac:dyDescent="0.3">
      <c r="A3" s="983" t="s">
        <v>0</v>
      </c>
      <c r="B3" s="983"/>
      <c r="C3" s="983"/>
      <c r="D3" s="983"/>
      <c r="E3" s="599"/>
      <c r="F3" s="983" t="s">
        <v>1</v>
      </c>
      <c r="G3" s="983"/>
      <c r="H3" s="983"/>
      <c r="I3" s="983"/>
      <c r="J3" s="983"/>
    </row>
    <row r="4" spans="1:10" ht="15.75" customHeight="1" x14ac:dyDescent="0.3">
      <c r="A4" s="532" t="s">
        <v>294</v>
      </c>
      <c r="B4" s="977" t="str">
        <f>'BP FORMAT JUILLET 2023'!B3</f>
        <v xml:space="preserve">ATGR </v>
      </c>
      <c r="C4" s="977"/>
      <c r="D4" s="977"/>
      <c r="E4" s="297"/>
      <c r="F4" s="613" t="s">
        <v>294</v>
      </c>
      <c r="G4" s="977" t="str">
        <f>'BP FORMAT JUILLET 2023'!G3</f>
        <v xml:space="preserve">MARTINO </v>
      </c>
      <c r="H4" s="977"/>
      <c r="I4" s="977"/>
      <c r="J4" s="977"/>
    </row>
    <row r="5" spans="1:10" ht="15.75" customHeight="1" x14ac:dyDescent="0.3">
      <c r="A5" s="532" t="s">
        <v>295</v>
      </c>
      <c r="B5" s="977" t="str">
        <f>'BP FORMAT JUILLET 2023'!B4</f>
        <v xml:space="preserve">3 Rue Paul Vaillant Couturier 92300 Levallois-Perret </v>
      </c>
      <c r="C5" s="977"/>
      <c r="D5" s="977"/>
      <c r="E5" s="297"/>
      <c r="F5" s="613" t="s">
        <v>306</v>
      </c>
      <c r="G5" s="977" t="str">
        <f>'BP FORMAT JUILLET 2023'!G4</f>
        <v xml:space="preserve">Hervé </v>
      </c>
      <c r="H5" s="977"/>
      <c r="I5" s="977"/>
      <c r="J5" s="977"/>
    </row>
    <row r="6" spans="1:10" ht="15.75" customHeight="1" x14ac:dyDescent="0.3">
      <c r="A6" s="532"/>
      <c r="B6" s="977"/>
      <c r="C6" s="977"/>
      <c r="D6" s="977"/>
      <c r="E6" s="297"/>
      <c r="F6" s="613" t="s">
        <v>307</v>
      </c>
      <c r="G6" s="977" t="str">
        <f>'BP FORMAT JUILLET 2023'!G5</f>
        <v>Responsable  Paie</v>
      </c>
      <c r="H6" s="977"/>
      <c r="I6" s="977"/>
      <c r="J6" s="977"/>
    </row>
    <row r="7" spans="1:10" ht="15.75" customHeight="1" x14ac:dyDescent="0.3">
      <c r="A7" s="532" t="s">
        <v>6</v>
      </c>
      <c r="B7" s="982">
        <f>'BP FORMAT JUILLET 2023'!B6</f>
        <v>34464426500029</v>
      </c>
      <c r="C7" s="982"/>
      <c r="D7" s="982"/>
      <c r="E7" s="299"/>
      <c r="F7" s="613" t="s">
        <v>678</v>
      </c>
      <c r="G7" s="977">
        <f>'BP FORMAT JUILLET 2023'!G6</f>
        <v>250</v>
      </c>
      <c r="H7" s="977"/>
      <c r="I7" s="977"/>
      <c r="J7" s="977"/>
    </row>
    <row r="8" spans="1:10" ht="15.75" customHeight="1" x14ac:dyDescent="0.3">
      <c r="A8" s="532" t="s">
        <v>8</v>
      </c>
      <c r="B8" s="977" t="str">
        <f>'BP FORMAT JUILLET 2023'!B7</f>
        <v xml:space="preserve">7111C </v>
      </c>
      <c r="C8" s="977"/>
      <c r="D8" s="977"/>
      <c r="E8" s="297"/>
      <c r="F8" s="613" t="s">
        <v>681</v>
      </c>
      <c r="G8" s="977" t="str">
        <f>'BP FORMAT JUILLET 2023'!G7</f>
        <v>1.63.11.59.52.55.</v>
      </c>
      <c r="H8" s="977"/>
      <c r="I8" s="977"/>
      <c r="J8" s="977"/>
    </row>
    <row r="9" spans="1:10" ht="15.75" customHeight="1" x14ac:dyDescent="0.3">
      <c r="A9" s="532" t="s">
        <v>10</v>
      </c>
      <c r="B9" s="977">
        <f>'BP FORMAT JUILLET 2023'!B8</f>
        <v>0</v>
      </c>
      <c r="C9" s="977"/>
      <c r="D9" s="977"/>
      <c r="E9" s="299"/>
      <c r="F9" s="613" t="s">
        <v>295</v>
      </c>
      <c r="G9" s="977" t="str">
        <f>'BP FORMAT JUILLET 2023'!G8</f>
        <v xml:space="preserve">3 Rue Paul  92700 Colombes </v>
      </c>
      <c r="H9" s="977"/>
      <c r="I9" s="977"/>
      <c r="J9" s="977"/>
    </row>
    <row r="10" spans="1:10" ht="15.75" customHeight="1" x14ac:dyDescent="0.3">
      <c r="A10" s="532" t="s">
        <v>11</v>
      </c>
      <c r="B10" s="593">
        <f>'BP FORMAT JUILLET 2023'!B9</f>
        <v>60</v>
      </c>
      <c r="C10" s="978"/>
      <c r="D10" s="978"/>
      <c r="E10" s="297"/>
      <c r="F10" s="979" t="s">
        <v>12</v>
      </c>
      <c r="G10" s="979"/>
      <c r="H10" s="594"/>
      <c r="I10" s="592">
        <f>'BP FORMAT JUILLET 2023'!I9</f>
        <v>2</v>
      </c>
      <c r="J10" s="592" t="str">
        <f>'BP FORMAT JUILLET 2023'!J9</f>
        <v>C</v>
      </c>
    </row>
    <row r="11" spans="1:10" ht="23.45" customHeight="1" x14ac:dyDescent="0.3">
      <c r="A11" s="532" t="s">
        <v>13</v>
      </c>
      <c r="B11" s="595">
        <f>'BP FORMAT JUILLET 2023'!B10</f>
        <v>125.58</v>
      </c>
      <c r="C11" s="569" t="s">
        <v>14</v>
      </c>
      <c r="D11" s="570">
        <f>'BP FORMAT JUILLET 2023'!D10</f>
        <v>12.02</v>
      </c>
      <c r="E11" s="297"/>
      <c r="F11" s="973" t="s">
        <v>685</v>
      </c>
      <c r="G11" s="973"/>
      <c r="H11" s="596">
        <f>'BP FORMAT JUILLET 2023'!H10</f>
        <v>46296</v>
      </c>
      <c r="I11" s="597" t="s">
        <v>686</v>
      </c>
      <c r="J11" s="596">
        <f>'BP FORMAT JUILLET 2023'!J10</f>
        <v>46326</v>
      </c>
    </row>
    <row r="12" spans="1:10" ht="25.15" customHeight="1" x14ac:dyDescent="0.3">
      <c r="A12" s="532" t="s">
        <v>699</v>
      </c>
      <c r="B12" s="980"/>
      <c r="C12" s="981"/>
      <c r="D12" s="981"/>
      <c r="E12" s="309"/>
      <c r="F12" s="614" t="s">
        <v>16</v>
      </c>
      <c r="G12" s="598">
        <f>'BP FORMAT JUILLET 2023'!G11</f>
        <v>46326</v>
      </c>
      <c r="H12" s="59"/>
      <c r="I12" s="59"/>
      <c r="J12" s="59"/>
    </row>
    <row r="13" spans="1:10" ht="13.9" hidden="1" customHeight="1" x14ac:dyDescent="0.3">
      <c r="A13" s="976"/>
      <c r="B13" s="976"/>
      <c r="C13" s="976"/>
      <c r="D13" s="976"/>
      <c r="E13" s="976"/>
      <c r="F13" s="976"/>
      <c r="G13" s="976"/>
      <c r="H13" s="976"/>
      <c r="I13" s="976"/>
      <c r="J13" s="976"/>
    </row>
    <row r="14" spans="1:10" ht="20.45" customHeight="1" x14ac:dyDescent="0.3">
      <c r="A14" s="973" t="s">
        <v>17</v>
      </c>
      <c r="B14" s="973"/>
      <c r="C14" s="973"/>
      <c r="D14" s="973"/>
      <c r="E14" s="973"/>
      <c r="F14" s="973"/>
      <c r="G14" s="571">
        <v>151.66999999999999</v>
      </c>
      <c r="H14" s="569" t="s">
        <v>18</v>
      </c>
      <c r="I14" s="572">
        <f>J14/G14</f>
        <v>19.77978505966902</v>
      </c>
      <c r="J14" s="573">
        <f>'BP FORMAT JUILLET 2023'!J13</f>
        <v>3000</v>
      </c>
    </row>
    <row r="15" spans="1:10" ht="20.45" hidden="1" customHeight="1" x14ac:dyDescent="0.3">
      <c r="A15" s="973" t="s">
        <v>224</v>
      </c>
      <c r="B15" s="973"/>
      <c r="C15" s="973"/>
      <c r="D15" s="973"/>
      <c r="E15" s="973"/>
      <c r="F15" s="973"/>
      <c r="G15" s="569"/>
      <c r="H15" s="569"/>
      <c r="I15" s="572"/>
      <c r="J15" s="573">
        <f>'BP FORMAT JUILLET 2023'!J14</f>
        <v>0</v>
      </c>
    </row>
    <row r="16" spans="1:10" ht="20.45" hidden="1" customHeight="1" x14ac:dyDescent="0.3">
      <c r="A16" s="973" t="s">
        <v>383</v>
      </c>
      <c r="B16" s="973"/>
      <c r="C16" s="973"/>
      <c r="D16" s="973"/>
      <c r="E16" s="973"/>
      <c r="F16" s="973"/>
      <c r="G16" s="574"/>
      <c r="H16" s="575"/>
      <c r="I16" s="572"/>
      <c r="J16" s="573">
        <f>'BP FORMAT JUILLET 2023'!J15</f>
        <v>0</v>
      </c>
    </row>
    <row r="17" spans="1:10" ht="20.45" hidden="1" customHeight="1" x14ac:dyDescent="0.3">
      <c r="A17" s="973" t="s">
        <v>687</v>
      </c>
      <c r="B17" s="973"/>
      <c r="C17" s="973"/>
      <c r="D17" s="973"/>
      <c r="E17" s="973"/>
      <c r="F17" s="973"/>
      <c r="G17" s="574"/>
      <c r="H17" s="575"/>
      <c r="I17" s="572"/>
      <c r="J17" s="573">
        <f>'BP FORMAT JUILLET 2023'!J16</f>
        <v>0</v>
      </c>
    </row>
    <row r="18" spans="1:10" ht="20.45" hidden="1" customHeight="1" x14ac:dyDescent="0.3">
      <c r="A18" s="973" t="s">
        <v>19</v>
      </c>
      <c r="B18" s="973"/>
      <c r="C18" s="973"/>
      <c r="D18" s="973"/>
      <c r="E18" s="973"/>
      <c r="F18" s="973"/>
      <c r="G18" s="574"/>
      <c r="H18" s="575" t="s">
        <v>18</v>
      </c>
      <c r="I18" s="572"/>
      <c r="J18" s="573">
        <f>'BP FORMAT JUILLET 2023'!J17</f>
        <v>119.55000000000001</v>
      </c>
    </row>
    <row r="19" spans="1:10" ht="20.45" hidden="1" customHeight="1" x14ac:dyDescent="0.3">
      <c r="A19" s="973" t="s">
        <v>225</v>
      </c>
      <c r="B19" s="973"/>
      <c r="C19" s="973"/>
      <c r="D19" s="973"/>
      <c r="E19" s="973"/>
      <c r="F19" s="973"/>
      <c r="G19" s="574"/>
      <c r="H19" s="575" t="s">
        <v>18</v>
      </c>
      <c r="I19" s="572"/>
      <c r="J19" s="573">
        <f>'BP FORMAT JUILLET 2023'!J18</f>
        <v>0</v>
      </c>
    </row>
    <row r="20" spans="1:10" ht="20.45" hidden="1" customHeight="1" x14ac:dyDescent="0.3">
      <c r="A20" s="973" t="s">
        <v>226</v>
      </c>
      <c r="B20" s="973"/>
      <c r="C20" s="973"/>
      <c r="D20" s="973"/>
      <c r="E20" s="973"/>
      <c r="F20" s="973"/>
      <c r="G20" s="574"/>
      <c r="H20" s="575" t="s">
        <v>18</v>
      </c>
      <c r="I20" s="572"/>
      <c r="J20" s="573">
        <f>'BP FORMAT JUILLET 2023'!J19</f>
        <v>0</v>
      </c>
    </row>
    <row r="21" spans="1:10" ht="20.45" hidden="1" customHeight="1" x14ac:dyDescent="0.3">
      <c r="A21" s="973" t="s">
        <v>227</v>
      </c>
      <c r="B21" s="973"/>
      <c r="C21" s="973"/>
      <c r="D21" s="973"/>
      <c r="E21" s="973"/>
      <c r="F21" s="973"/>
      <c r="G21" s="574"/>
      <c r="H21" s="575" t="s">
        <v>18</v>
      </c>
      <c r="I21" s="572"/>
      <c r="J21" s="573">
        <f>'BP FORMAT JUILLET 2023'!J20</f>
        <v>0</v>
      </c>
    </row>
    <row r="22" spans="1:10" ht="20.45" customHeight="1" x14ac:dyDescent="0.3">
      <c r="A22" s="973" t="s">
        <v>228</v>
      </c>
      <c r="B22" s="973"/>
      <c r="C22" s="973"/>
      <c r="D22" s="973"/>
      <c r="E22" s="973"/>
      <c r="F22" s="973"/>
      <c r="G22" s="628">
        <f>'BP FORMAT JUILLET 2023'!G21</f>
        <v>10</v>
      </c>
      <c r="H22" s="575" t="s">
        <v>18</v>
      </c>
      <c r="I22" s="572">
        <f>ROUND(((J14+J17)*1.25/G14),6)</f>
        <v>24.724730999999998</v>
      </c>
      <c r="J22" s="573">
        <f>'BP FORMAT JUILLET 2023'!J21</f>
        <v>257.10000000000002</v>
      </c>
    </row>
    <row r="23" spans="1:10" ht="20.45" hidden="1" customHeight="1" x14ac:dyDescent="0.3">
      <c r="A23" s="973" t="s">
        <v>229</v>
      </c>
      <c r="B23" s="973"/>
      <c r="C23" s="973"/>
      <c r="D23" s="973"/>
      <c r="E23" s="973"/>
      <c r="F23" s="973"/>
      <c r="G23" s="574"/>
      <c r="H23" s="575" t="s">
        <v>20</v>
      </c>
      <c r="I23" s="569"/>
      <c r="J23" s="573">
        <f>'BP FORMAT JUILLET 2023'!J22</f>
        <v>0</v>
      </c>
    </row>
    <row r="24" spans="1:10" ht="20.45" hidden="1" customHeight="1" x14ac:dyDescent="0.3">
      <c r="A24" s="973" t="s">
        <v>688</v>
      </c>
      <c r="B24" s="973"/>
      <c r="C24" s="973"/>
      <c r="D24" s="973"/>
      <c r="E24" s="973"/>
      <c r="F24" s="973"/>
      <c r="G24" s="297"/>
      <c r="H24" s="629"/>
      <c r="I24" s="630"/>
      <c r="J24" s="573">
        <f>'BP FORMAT JUILLET 2023'!J23</f>
        <v>-681.81818181818187</v>
      </c>
    </row>
    <row r="25" spans="1:10" ht="20.45" hidden="1" customHeight="1" x14ac:dyDescent="0.3">
      <c r="A25" s="973" t="s">
        <v>21</v>
      </c>
      <c r="B25" s="973"/>
      <c r="C25" s="973"/>
      <c r="D25" s="973"/>
      <c r="E25" s="973"/>
      <c r="F25" s="973"/>
      <c r="G25" s="297"/>
      <c r="H25" s="629"/>
      <c r="I25" s="630"/>
      <c r="J25" s="573">
        <f>'BP FORMAT JUILLET 2023'!J24</f>
        <v>0</v>
      </c>
    </row>
    <row r="26" spans="1:10" ht="20.45" hidden="1" customHeight="1" x14ac:dyDescent="0.3">
      <c r="A26" s="973" t="s">
        <v>22</v>
      </c>
      <c r="B26" s="973"/>
      <c r="C26" s="973"/>
      <c r="D26" s="973"/>
      <c r="E26" s="973"/>
      <c r="F26" s="973"/>
      <c r="G26" s="297"/>
      <c r="H26" s="629"/>
      <c r="I26" s="630"/>
      <c r="J26" s="573">
        <f>'BP FORMAT JUILLET 2023'!J25</f>
        <v>0</v>
      </c>
    </row>
    <row r="27" spans="1:10" ht="20.45" hidden="1" customHeight="1" x14ac:dyDescent="0.3">
      <c r="A27" s="973" t="s">
        <v>23</v>
      </c>
      <c r="B27" s="973"/>
      <c r="C27" s="973"/>
      <c r="D27" s="973"/>
      <c r="E27" s="973"/>
      <c r="F27" s="973"/>
      <c r="G27" s="297"/>
      <c r="H27" s="629"/>
      <c r="I27" s="630"/>
      <c r="J27" s="573">
        <f>'BP FORMAT JUILLET 2023'!J26</f>
        <v>0</v>
      </c>
    </row>
    <row r="28" spans="1:10" ht="20.45" hidden="1" customHeight="1" x14ac:dyDescent="0.3">
      <c r="A28" s="973" t="s">
        <v>24</v>
      </c>
      <c r="B28" s="973"/>
      <c r="C28" s="973"/>
      <c r="D28" s="973"/>
      <c r="E28" s="973"/>
      <c r="F28" s="973"/>
      <c r="G28" s="297"/>
      <c r="H28" s="629"/>
      <c r="I28" s="630"/>
      <c r="J28" s="573">
        <f>'BP FORMAT JUILLET 2023'!J27</f>
        <v>0</v>
      </c>
    </row>
    <row r="29" spans="1:10" ht="20.45" hidden="1" customHeight="1" x14ac:dyDescent="0.3">
      <c r="A29" s="973" t="s">
        <v>25</v>
      </c>
      <c r="B29" s="973"/>
      <c r="C29" s="973"/>
      <c r="D29" s="973"/>
      <c r="E29" s="973"/>
      <c r="F29" s="973"/>
      <c r="G29" s="297"/>
      <c r="H29" s="629"/>
      <c r="I29" s="630"/>
      <c r="J29" s="573">
        <f>'BP FORMAT JUILLET 2023'!J28</f>
        <v>0</v>
      </c>
    </row>
    <row r="30" spans="1:10" ht="20.45" hidden="1" customHeight="1" x14ac:dyDescent="0.3">
      <c r="A30" s="973" t="s">
        <v>26</v>
      </c>
      <c r="B30" s="973"/>
      <c r="C30" s="973"/>
      <c r="D30" s="973"/>
      <c r="E30" s="973"/>
      <c r="F30" s="973"/>
      <c r="G30" s="297"/>
      <c r="H30" s="629"/>
      <c r="I30" s="630"/>
      <c r="J30" s="573">
        <f>'BP FORMAT JUILLET 2023'!J29</f>
        <v>0</v>
      </c>
    </row>
    <row r="31" spans="1:10" ht="20.45" hidden="1" customHeight="1" x14ac:dyDescent="0.3">
      <c r="A31" s="973" t="s">
        <v>27</v>
      </c>
      <c r="B31" s="973"/>
      <c r="C31" s="973"/>
      <c r="D31" s="973"/>
      <c r="E31" s="973"/>
      <c r="F31" s="973"/>
      <c r="G31" s="297"/>
      <c r="H31" s="629"/>
      <c r="I31" s="630"/>
      <c r="J31" s="573">
        <f>'BP FORMAT JUILLET 2023'!J30</f>
        <v>0</v>
      </c>
    </row>
    <row r="32" spans="1:10" ht="20.45" hidden="1" customHeight="1" x14ac:dyDescent="0.3">
      <c r="A32" s="973" t="s">
        <v>28</v>
      </c>
      <c r="B32" s="973"/>
      <c r="C32" s="973"/>
      <c r="D32" s="973"/>
      <c r="E32" s="973"/>
      <c r="F32" s="973"/>
      <c r="G32" s="297"/>
      <c r="H32" s="629"/>
      <c r="I32" s="630"/>
      <c r="J32" s="573">
        <f>'BP FORMAT JUILLET 2023'!J31</f>
        <v>0</v>
      </c>
    </row>
    <row r="33" spans="1:10" ht="20.45" hidden="1" customHeight="1" x14ac:dyDescent="0.3">
      <c r="A33" s="973"/>
      <c r="B33" s="973"/>
      <c r="C33" s="973"/>
      <c r="D33" s="973"/>
      <c r="E33" s="973"/>
      <c r="F33" s="973"/>
      <c r="G33" s="297"/>
      <c r="H33" s="629"/>
      <c r="I33" s="630"/>
      <c r="J33" s="573">
        <f>'BP FORMAT JUILLET 2023'!J32</f>
        <v>0</v>
      </c>
    </row>
    <row r="34" spans="1:10" ht="20.45" customHeight="1" x14ac:dyDescent="0.3">
      <c r="A34" s="974" t="s">
        <v>29</v>
      </c>
      <c r="B34" s="974"/>
      <c r="C34" s="570">
        <v>3925</v>
      </c>
      <c r="D34" s="975" t="s">
        <v>30</v>
      </c>
      <c r="E34" s="975"/>
      <c r="F34" s="975"/>
      <c r="G34" s="975"/>
      <c r="H34" s="975"/>
      <c r="I34" s="975"/>
      <c r="J34" s="601">
        <f>'BP FORMAT JUILLET 2023'!J33</f>
        <v>2694.8318181818181</v>
      </c>
    </row>
    <row r="35" spans="1:10" ht="13.9" hidden="1" customHeight="1" x14ac:dyDescent="0.3">
      <c r="A35" s="976"/>
      <c r="B35" s="976"/>
      <c r="C35" s="976"/>
      <c r="D35" s="976"/>
      <c r="E35" s="976"/>
      <c r="F35" s="976"/>
      <c r="G35" s="976"/>
      <c r="H35" s="976"/>
      <c r="I35" s="976"/>
      <c r="J35" s="976"/>
    </row>
    <row r="36" spans="1:10" ht="41.45" customHeight="1" x14ac:dyDescent="0.3">
      <c r="A36" s="964" t="s">
        <v>278</v>
      </c>
      <c r="B36" s="964"/>
      <c r="C36" s="954" t="s">
        <v>32</v>
      </c>
      <c r="D36" s="954"/>
      <c r="E36" s="600" t="s">
        <v>33</v>
      </c>
      <c r="F36" s="615" t="s">
        <v>34</v>
      </c>
      <c r="G36" s="954" t="s">
        <v>35</v>
      </c>
      <c r="H36" s="954"/>
      <c r="I36" s="954" t="s">
        <v>36</v>
      </c>
      <c r="J36" s="954"/>
    </row>
    <row r="37" spans="1:10" ht="19.899999999999999" customHeight="1" x14ac:dyDescent="0.3">
      <c r="A37" s="967" t="s">
        <v>37</v>
      </c>
      <c r="B37" s="967"/>
      <c r="C37" s="972"/>
      <c r="D37" s="972"/>
      <c r="E37" s="972"/>
      <c r="F37" s="972"/>
      <c r="G37" s="972"/>
      <c r="H37" s="972"/>
      <c r="I37" s="972"/>
      <c r="J37" s="972"/>
    </row>
    <row r="38" spans="1:10" ht="21.6" customHeight="1" x14ac:dyDescent="0.3">
      <c r="A38" s="968" t="s">
        <v>261</v>
      </c>
      <c r="B38" s="968"/>
      <c r="C38" s="952">
        <f>'BP FORMAT JUILLET 2023'!C37</f>
        <v>2694.8318181818181</v>
      </c>
      <c r="D38" s="952"/>
      <c r="E38" s="603"/>
      <c r="F38" s="604">
        <v>7.0000000000000007E-2</v>
      </c>
      <c r="G38" s="952">
        <f t="shared" ref="G38:G45" si="0">ROUND(C38*E38,2)</f>
        <v>0</v>
      </c>
      <c r="H38" s="952"/>
      <c r="I38" s="952">
        <f>'BP FORMAT JUILLET 2023'!G37</f>
        <v>350.33</v>
      </c>
      <c r="J38" s="952"/>
    </row>
    <row r="39" spans="1:10" ht="16.149999999999999" customHeight="1" x14ac:dyDescent="0.3">
      <c r="A39" s="968" t="s">
        <v>196</v>
      </c>
      <c r="B39" s="968"/>
      <c r="C39" s="952">
        <f>'BP FORMAT JUILLET 2023'!C38</f>
        <v>0</v>
      </c>
      <c r="D39" s="952"/>
      <c r="E39" s="603"/>
      <c r="F39" s="604">
        <v>0.06</v>
      </c>
      <c r="G39" s="952">
        <f t="shared" si="0"/>
        <v>0</v>
      </c>
      <c r="H39" s="952"/>
      <c r="I39" s="952">
        <f>'BP FORMAT JUILLET 2023'!G38</f>
        <v>0</v>
      </c>
      <c r="J39" s="952"/>
    </row>
    <row r="40" spans="1:10" ht="17.45" hidden="1" customHeight="1" x14ac:dyDescent="0.3">
      <c r="A40" s="909"/>
      <c r="B40" s="909"/>
      <c r="C40" s="952">
        <f>'BP FORMAT JUILLET 2023'!C39</f>
        <v>0</v>
      </c>
      <c r="D40" s="952"/>
      <c r="E40" s="203"/>
      <c r="F40" s="604" t="e">
        <v>#N/A</v>
      </c>
      <c r="G40" s="952">
        <f t="shared" si="0"/>
        <v>0</v>
      </c>
      <c r="H40" s="952"/>
      <c r="I40" s="952">
        <f>'BP FORMAT JUILLET 2023'!G39</f>
        <v>0</v>
      </c>
      <c r="J40" s="952"/>
    </row>
    <row r="41" spans="1:10" ht="18.600000000000001" customHeight="1" x14ac:dyDescent="0.3">
      <c r="A41" s="968" t="s">
        <v>239</v>
      </c>
      <c r="B41" s="968"/>
      <c r="C41" s="952">
        <f>'BP FORMAT JUILLET 2023'!C40</f>
        <v>0</v>
      </c>
      <c r="D41" s="952"/>
      <c r="E41" s="603">
        <v>0.01</v>
      </c>
      <c r="F41" s="604">
        <v>1.7999999999999999E-2</v>
      </c>
      <c r="G41" s="952">
        <f t="shared" si="0"/>
        <v>0</v>
      </c>
      <c r="H41" s="952"/>
      <c r="I41" s="952">
        <f>'BP FORMAT JUILLET 2023'!G40</f>
        <v>0</v>
      </c>
      <c r="J41" s="952"/>
    </row>
    <row r="42" spans="1:10" ht="17.45" hidden="1" customHeight="1" x14ac:dyDescent="0.3">
      <c r="A42" s="971" t="s">
        <v>197</v>
      </c>
      <c r="B42" s="971"/>
      <c r="C42" s="952">
        <f>'BP FORMAT JUILLET 2023'!C41</f>
        <v>0</v>
      </c>
      <c r="D42" s="952"/>
      <c r="E42" s="603"/>
      <c r="F42" s="604"/>
      <c r="G42" s="952">
        <f t="shared" si="0"/>
        <v>0</v>
      </c>
      <c r="H42" s="952"/>
      <c r="I42" s="952">
        <f>'BP FORMAT JUILLET 2023'!G41</f>
        <v>0</v>
      </c>
      <c r="J42" s="952"/>
    </row>
    <row r="43" spans="1:10" ht="17.45" hidden="1" customHeight="1" x14ac:dyDescent="0.3">
      <c r="A43" s="968" t="s">
        <v>192</v>
      </c>
      <c r="B43" s="968"/>
      <c r="C43" s="952">
        <f>'BP FORMAT JUILLET 2023'!C43</f>
        <v>2694.8318181818181</v>
      </c>
      <c r="D43" s="952"/>
      <c r="E43" s="603">
        <f>'BP FORMAT JUILLET 2023'!D43</f>
        <v>0.01</v>
      </c>
      <c r="F43" s="604">
        <f>'BP FORMAT JUILLET 2023'!E43</f>
        <v>0.02</v>
      </c>
      <c r="G43" s="952">
        <f t="shared" si="0"/>
        <v>26.95</v>
      </c>
      <c r="H43" s="952"/>
      <c r="I43" s="952">
        <f>'BP FORMAT JUILLET 2023'!G43</f>
        <v>53.9</v>
      </c>
      <c r="J43" s="952"/>
    </row>
    <row r="44" spans="1:10" ht="17.45" hidden="1" customHeight="1" x14ac:dyDescent="0.3">
      <c r="A44" s="968"/>
      <c r="B44" s="968"/>
      <c r="C44" s="952">
        <f>'BP FORMAT JUILLET 2023'!C43</f>
        <v>2694.8318181818181</v>
      </c>
      <c r="D44" s="952"/>
      <c r="E44" s="603">
        <f>'BP FORMAT JUILLET 2023'!D44</f>
        <v>0</v>
      </c>
      <c r="F44" s="604">
        <f>'BP FORMAT JUILLET 2023'!E44</f>
        <v>1.4999999999999999E-2</v>
      </c>
      <c r="G44" s="952">
        <f t="shared" si="0"/>
        <v>0</v>
      </c>
      <c r="H44" s="952"/>
      <c r="I44" s="952">
        <f>'BP FORMAT JUILLET 2023'!G44</f>
        <v>0</v>
      </c>
      <c r="J44" s="952"/>
    </row>
    <row r="45" spans="1:10" ht="17.45" hidden="1" customHeight="1" x14ac:dyDescent="0.3">
      <c r="A45" s="905"/>
      <c r="B45" s="905"/>
      <c r="C45" s="952">
        <f>'BP FORMAT JUILLET 2023'!C44</f>
        <v>0</v>
      </c>
      <c r="D45" s="952"/>
      <c r="E45" s="603">
        <f>'BP FORMAT JUILLET 2023'!D45</f>
        <v>0</v>
      </c>
      <c r="F45" s="604">
        <f>'BP FORMAT JUILLET 2023'!E45</f>
        <v>0</v>
      </c>
      <c r="G45" s="952">
        <f t="shared" si="0"/>
        <v>0</v>
      </c>
      <c r="H45" s="952"/>
      <c r="I45" s="952">
        <f>'BP FORMAT JUILLET 2023'!G45</f>
        <v>0</v>
      </c>
      <c r="J45" s="952"/>
    </row>
    <row r="46" spans="1:10" ht="17.45" customHeight="1" x14ac:dyDescent="0.3">
      <c r="A46" s="967" t="s">
        <v>38</v>
      </c>
      <c r="B46" s="967"/>
      <c r="C46" s="952">
        <f>'BP FORMAT JUILLET 2023'!C49</f>
        <v>2694.8318181818181</v>
      </c>
      <c r="D46" s="952"/>
      <c r="E46" s="577"/>
      <c r="F46" s="604">
        <f>'BP FORMAT JUILLET 2023'!E49</f>
        <v>1.4999999999999999E-2</v>
      </c>
      <c r="G46" s="958"/>
      <c r="H46" s="958"/>
      <c r="I46" s="952">
        <f>'BP FORMAT JUILLET 2023'!G49</f>
        <v>40.42</v>
      </c>
      <c r="J46" s="952"/>
    </row>
    <row r="47" spans="1:10" ht="17.45" customHeight="1" x14ac:dyDescent="0.3">
      <c r="A47" s="967" t="s">
        <v>39</v>
      </c>
      <c r="B47" s="967"/>
      <c r="C47" s="958"/>
      <c r="D47" s="958"/>
      <c r="E47" s="577"/>
      <c r="F47" s="578"/>
      <c r="G47" s="958"/>
      <c r="H47" s="958"/>
      <c r="I47" s="958"/>
      <c r="J47" s="958"/>
    </row>
    <row r="48" spans="1:10" ht="20.45" customHeight="1" x14ac:dyDescent="0.3">
      <c r="A48" s="968" t="s">
        <v>40</v>
      </c>
      <c r="B48" s="968"/>
      <c r="C48" s="952">
        <f>'BP FORMAT JUILLET 2023'!C51</f>
        <v>2694.8318181818181</v>
      </c>
      <c r="D48" s="952"/>
      <c r="E48" s="603">
        <f>'BP FORMAT JUILLET 2023'!D51</f>
        <v>6.9000000000000006E-2</v>
      </c>
      <c r="F48" s="604">
        <f>'BP FORMAT JUILLET 2023'!E51</f>
        <v>8.5500000000000007E-2</v>
      </c>
      <c r="G48" s="952">
        <f>'BP FORMAT JUILLET 2023'!F51</f>
        <v>185.94</v>
      </c>
      <c r="H48" s="952"/>
      <c r="I48" s="952">
        <f>'BP FORMAT JUILLET 2023'!G51</f>
        <v>230.41</v>
      </c>
      <c r="J48" s="952"/>
    </row>
    <row r="49" spans="1:10" ht="20.45" customHeight="1" x14ac:dyDescent="0.3">
      <c r="A49" s="968" t="s">
        <v>41</v>
      </c>
      <c r="B49" s="968"/>
      <c r="C49" s="952">
        <f>'BP FORMAT JUILLET 2023'!C52</f>
        <v>2694.8318181818181</v>
      </c>
      <c r="D49" s="952"/>
      <c r="E49" s="603">
        <f>'BP FORMAT JUILLET 2023'!D52</f>
        <v>4.0000000000000001E-3</v>
      </c>
      <c r="F49" s="604">
        <f>'BP FORMAT JUILLET 2023'!E52</f>
        <v>2.1100000000000001E-2</v>
      </c>
      <c r="G49" s="952">
        <f>'BP FORMAT JUILLET 2023'!F52</f>
        <v>10.78</v>
      </c>
      <c r="H49" s="952"/>
      <c r="I49" s="952">
        <f>'BP FORMAT JUILLET 2023'!G52</f>
        <v>56.86</v>
      </c>
      <c r="J49" s="952"/>
    </row>
    <row r="50" spans="1:10" ht="16.899999999999999" customHeight="1" x14ac:dyDescent="0.3">
      <c r="A50" s="968" t="s">
        <v>42</v>
      </c>
      <c r="B50" s="968"/>
      <c r="C50" s="952">
        <f>'BP FORMAT JUILLET 2023'!C53</f>
        <v>2694.8318181818181</v>
      </c>
      <c r="D50" s="952"/>
      <c r="E50" s="603">
        <f>'BP FORMAT JUILLET 2023'!D53</f>
        <v>4.0099999999999997E-2</v>
      </c>
      <c r="F50" s="604">
        <f>'BP FORMAT JUILLET 2023'!E53</f>
        <v>6.0100000000000001E-2</v>
      </c>
      <c r="G50" s="952">
        <f>'BP FORMAT JUILLET 2023'!F53</f>
        <v>108.06</v>
      </c>
      <c r="H50" s="952"/>
      <c r="I50" s="952">
        <f>'BP FORMAT JUILLET 2023'!G53</f>
        <v>161.96</v>
      </c>
      <c r="J50" s="952"/>
    </row>
    <row r="51" spans="1:10" ht="18" hidden="1" customHeight="1" x14ac:dyDescent="0.3">
      <c r="A51" s="968" t="s">
        <v>43</v>
      </c>
      <c r="B51" s="968"/>
      <c r="C51" s="952">
        <f>'BP FORMAT JUILLET 2023'!C54</f>
        <v>0</v>
      </c>
      <c r="D51" s="952"/>
      <c r="E51" s="603">
        <f>'BP FORMAT JUILLET 2023'!D54</f>
        <v>0</v>
      </c>
      <c r="F51" s="604">
        <f>'BP FORMAT JUILLET 2023'!E54</f>
        <v>0</v>
      </c>
      <c r="G51" s="952">
        <f>'BP FORMAT JUILLET 2023'!F54</f>
        <v>0</v>
      </c>
      <c r="H51" s="952"/>
      <c r="I51" s="952">
        <f>'BP FORMAT JUILLET 2023'!G54</f>
        <v>0</v>
      </c>
      <c r="J51" s="952"/>
    </row>
    <row r="52" spans="1:10" ht="18" hidden="1" customHeight="1" x14ac:dyDescent="0.3">
      <c r="A52" s="970" t="s">
        <v>73</v>
      </c>
      <c r="B52" s="970"/>
      <c r="C52" s="952">
        <f>'BP FORMAT JUILLET 2023'!C55</f>
        <v>0</v>
      </c>
      <c r="D52" s="952"/>
      <c r="E52" s="603">
        <f>'BP FORMAT JUILLET 2023'!D55</f>
        <v>0</v>
      </c>
      <c r="F52" s="604">
        <f>'BP FORMAT JUILLET 2023'!E55</f>
        <v>0</v>
      </c>
      <c r="G52" s="952">
        <f>'BP FORMAT JUILLET 2023'!F55</f>
        <v>0</v>
      </c>
      <c r="H52" s="952"/>
      <c r="I52" s="952">
        <f>'BP FORMAT JUILLET 2023'!G55</f>
        <v>0</v>
      </c>
      <c r="J52" s="952"/>
    </row>
    <row r="53" spans="1:10" ht="18" hidden="1" customHeight="1" x14ac:dyDescent="0.3">
      <c r="A53" s="970" t="s">
        <v>74</v>
      </c>
      <c r="B53" s="970"/>
      <c r="C53" s="952">
        <f>'BP FORMAT JUILLET 2023'!C56</f>
        <v>0</v>
      </c>
      <c r="D53" s="952"/>
      <c r="E53" s="603">
        <f>'BP FORMAT JUILLET 2023'!D56</f>
        <v>0</v>
      </c>
      <c r="F53" s="604">
        <f>'BP FORMAT JUILLET 2023'!E56</f>
        <v>0</v>
      </c>
      <c r="G53" s="952">
        <f>'BP FORMAT JUILLET 2023'!F56</f>
        <v>0</v>
      </c>
      <c r="H53" s="952"/>
      <c r="I53" s="952">
        <f>'BP FORMAT JUILLET 2023'!G56</f>
        <v>0</v>
      </c>
      <c r="J53" s="952"/>
    </row>
    <row r="54" spans="1:10" ht="18" hidden="1" customHeight="1" x14ac:dyDescent="0.3">
      <c r="A54" s="970" t="s">
        <v>75</v>
      </c>
      <c r="B54" s="970"/>
      <c r="C54" s="952">
        <f>'BP FORMAT JUILLET 2023'!C57</f>
        <v>0</v>
      </c>
      <c r="D54" s="952"/>
      <c r="E54" s="603">
        <f>'BP FORMAT JUILLET 2023'!D57</f>
        <v>0</v>
      </c>
      <c r="F54" s="604">
        <f>'BP FORMAT JUILLET 2023'!E57</f>
        <v>0</v>
      </c>
      <c r="G54" s="952">
        <f>'BP FORMAT JUILLET 2023'!F57</f>
        <v>0</v>
      </c>
      <c r="H54" s="952"/>
      <c r="I54" s="952">
        <f>'BP FORMAT JUILLET 2023'!G57</f>
        <v>0</v>
      </c>
      <c r="J54" s="952"/>
    </row>
    <row r="55" spans="1:10" ht="18" hidden="1" customHeight="1" x14ac:dyDescent="0.3">
      <c r="A55" s="970" t="s">
        <v>76</v>
      </c>
      <c r="B55" s="970"/>
      <c r="C55" s="952">
        <f>'BP FORMAT JUILLET 2023'!C58</f>
        <v>2694.8318181818181</v>
      </c>
      <c r="D55" s="952"/>
      <c r="E55" s="603">
        <f>'BP FORMAT JUILLET 2023'!D58</f>
        <v>0</v>
      </c>
      <c r="F55" s="604">
        <f>'BP FORMAT JUILLET 2023'!E58</f>
        <v>5.2499999999999998E-2</v>
      </c>
      <c r="G55" s="952">
        <f>'BP FORMAT JUILLET 2023'!F58</f>
        <v>0</v>
      </c>
      <c r="H55" s="952"/>
      <c r="I55" s="952">
        <f>'BP FORMAT JUILLET 2023'!G58</f>
        <v>141.47999999999999</v>
      </c>
      <c r="J55" s="952"/>
    </row>
    <row r="56" spans="1:10" ht="18" customHeight="1" x14ac:dyDescent="0.3">
      <c r="A56" s="967" t="s">
        <v>44</v>
      </c>
      <c r="B56" s="967"/>
      <c r="C56" s="969"/>
      <c r="D56" s="969"/>
      <c r="E56" s="579"/>
      <c r="F56" s="578"/>
      <c r="G56" s="958"/>
      <c r="H56" s="958"/>
      <c r="I56" s="958"/>
      <c r="J56" s="958"/>
    </row>
    <row r="57" spans="1:10" ht="17.45" customHeight="1" x14ac:dyDescent="0.3">
      <c r="A57" s="968" t="s">
        <v>240</v>
      </c>
      <c r="B57" s="968"/>
      <c r="C57" s="952">
        <f>'BP FORMAT JUILLET 2023'!C58</f>
        <v>2694.8318181818181</v>
      </c>
      <c r="D57" s="952"/>
      <c r="E57" s="24"/>
      <c r="F57" s="606">
        <f>'BP FORMAT JUILLET 2023'!E58</f>
        <v>5.2499999999999998E-2</v>
      </c>
      <c r="G57" s="952"/>
      <c r="H57" s="952"/>
      <c r="I57" s="952">
        <f>'BP FORMAT JUILLET 2023'!G58</f>
        <v>141.47999999999999</v>
      </c>
      <c r="J57" s="952"/>
    </row>
    <row r="58" spans="1:10" ht="1.1499999999999999" customHeight="1" x14ac:dyDescent="0.3">
      <c r="A58" s="968" t="s">
        <v>241</v>
      </c>
      <c r="B58" s="968"/>
      <c r="C58" s="952">
        <f>'BP FORMAT JUILLET 2023'!C59</f>
        <v>0</v>
      </c>
      <c r="D58" s="952"/>
      <c r="E58" s="606"/>
      <c r="F58" s="604">
        <f>'BP FORMAT JUILLET 2023'!E59</f>
        <v>0</v>
      </c>
      <c r="G58" s="952"/>
      <c r="H58" s="952"/>
      <c r="I58" s="952">
        <f>'BP FORMAT JUILLET 2023'!G59</f>
        <v>0</v>
      </c>
      <c r="J58" s="952"/>
    </row>
    <row r="59" spans="1:10" ht="22.9" customHeight="1" x14ac:dyDescent="0.3">
      <c r="A59" s="967" t="s">
        <v>45</v>
      </c>
      <c r="B59" s="967"/>
      <c r="C59" s="958"/>
      <c r="D59" s="958"/>
      <c r="E59" s="579"/>
      <c r="F59" s="578"/>
      <c r="G59" s="958"/>
      <c r="H59" s="958"/>
      <c r="I59" s="958"/>
      <c r="J59" s="958"/>
    </row>
    <row r="60" spans="1:10" ht="16.149999999999999" customHeight="1" x14ac:dyDescent="0.3">
      <c r="A60" s="968" t="s">
        <v>689</v>
      </c>
      <c r="B60" s="968"/>
      <c r="C60" s="952">
        <f>'BP FORMAT JUILLET 2023'!C61</f>
        <v>2694.8318181818181</v>
      </c>
      <c r="D60" s="952"/>
      <c r="E60" s="605"/>
      <c r="F60" s="604">
        <f>'BP FORMAT JUILLET 2023'!E61</f>
        <v>4.2500000000000003E-2</v>
      </c>
      <c r="G60" s="952"/>
      <c r="H60" s="952"/>
      <c r="I60" s="952">
        <f>'BP FORMAT JUILLET 2023'!G61</f>
        <v>114.53</v>
      </c>
      <c r="J60" s="952"/>
    </row>
    <row r="61" spans="1:10" ht="18.600000000000001" hidden="1" customHeight="1" x14ac:dyDescent="0.3">
      <c r="A61" s="968" t="s">
        <v>267</v>
      </c>
      <c r="B61" s="968"/>
      <c r="C61" s="952">
        <f>'BP FORMAT JUILLET 2023'!C62</f>
        <v>2694.8318181818181</v>
      </c>
      <c r="D61" s="952"/>
      <c r="E61" s="607">
        <f>'BP FORMAT JUILLET 2023'!D62</f>
        <v>2.4000000000000001E-4</v>
      </c>
      <c r="F61" s="624">
        <f>'BP FORMAT JUILLET 2023'!E62</f>
        <v>3.6000000000000002E-4</v>
      </c>
      <c r="G61" s="952"/>
      <c r="H61" s="952"/>
      <c r="I61" s="952">
        <f>'BP FORMAT JUILLET 2023'!G62</f>
        <v>0.97</v>
      </c>
      <c r="J61" s="952"/>
    </row>
    <row r="62" spans="1:10" ht="22.9" customHeight="1" x14ac:dyDescent="0.3">
      <c r="A62" s="967" t="s">
        <v>644</v>
      </c>
      <c r="B62" s="967"/>
      <c r="C62" s="958"/>
      <c r="D62" s="958"/>
      <c r="E62" s="576"/>
      <c r="F62" s="578"/>
      <c r="G62" s="958"/>
      <c r="H62" s="958"/>
      <c r="I62" s="952">
        <f>'BP FORMAT JUILLET 2023'!G63</f>
        <v>174.23000000000002</v>
      </c>
      <c r="J62" s="952"/>
    </row>
    <row r="63" spans="1:10" ht="22.9" customHeight="1" x14ac:dyDescent="0.3">
      <c r="A63" s="967" t="s">
        <v>47</v>
      </c>
      <c r="B63" s="967"/>
      <c r="C63" s="958"/>
      <c r="D63" s="958"/>
      <c r="E63" s="581"/>
      <c r="F63" s="578"/>
      <c r="G63" s="958"/>
      <c r="H63" s="958"/>
      <c r="I63" s="958"/>
      <c r="J63" s="958"/>
    </row>
    <row r="64" spans="1:10" ht="21.6" customHeight="1" x14ac:dyDescent="0.3">
      <c r="A64" s="962" t="s">
        <v>48</v>
      </c>
      <c r="B64" s="962"/>
      <c r="C64" s="952">
        <f>'BP FORMAT JUILLET 2023'!C65</f>
        <v>2502.8715113636367</v>
      </c>
      <c r="D64" s="952"/>
      <c r="E64" s="603">
        <f>'BP FORMAT JUILLET 2023'!D65</f>
        <v>6.8000000000000005E-2</v>
      </c>
      <c r="F64" s="604"/>
      <c r="G64" s="952">
        <f>'BP FORMAT JUILLET 2023'!F65</f>
        <v>170.2</v>
      </c>
      <c r="H64" s="952"/>
      <c r="I64" s="952"/>
      <c r="J64" s="952"/>
    </row>
    <row r="65" spans="1:10" ht="21.6" customHeight="1" x14ac:dyDescent="0.3">
      <c r="A65" s="962" t="s">
        <v>49</v>
      </c>
      <c r="B65" s="962"/>
      <c r="C65" s="952">
        <f>'BP FORMAT JUILLET 2023'!C66</f>
        <v>2502.8715113636367</v>
      </c>
      <c r="D65" s="952"/>
      <c r="E65" s="603">
        <f>'BP FORMAT JUILLET 2023'!D66</f>
        <v>2.9000000000000001E-2</v>
      </c>
      <c r="F65" s="604"/>
      <c r="G65" s="952">
        <f>'BP FORMAT JUILLET 2023'!F66</f>
        <v>72.58</v>
      </c>
      <c r="H65" s="952"/>
      <c r="I65" s="952"/>
      <c r="J65" s="952"/>
    </row>
    <row r="66" spans="1:10" ht="19.149999999999999" customHeight="1" x14ac:dyDescent="0.3">
      <c r="A66" s="962" t="s">
        <v>50</v>
      </c>
      <c r="B66" s="962"/>
      <c r="C66" s="952">
        <f>'BP FORMAT JUILLET 2023'!C67</f>
        <v>252.60075000000003</v>
      </c>
      <c r="D66" s="952"/>
      <c r="E66" s="603">
        <f>'BP FORMAT JUILLET 2023'!D67</f>
        <v>6.8000000000000005E-2</v>
      </c>
      <c r="F66" s="604"/>
      <c r="G66" s="952">
        <f>'BP FORMAT JUILLET 2023'!F67</f>
        <v>17.18</v>
      </c>
      <c r="H66" s="952"/>
      <c r="I66" s="952"/>
      <c r="J66" s="952"/>
    </row>
    <row r="67" spans="1:10" ht="15" hidden="1" customHeight="1" x14ac:dyDescent="0.3">
      <c r="A67" s="962" t="s">
        <v>51</v>
      </c>
      <c r="B67" s="962"/>
      <c r="C67" s="952">
        <f>'BP FORMAT JUILLET 2023'!C68</f>
        <v>0</v>
      </c>
      <c r="D67" s="952"/>
      <c r="E67" s="603">
        <f>'BP FORMAT JUILLET 2023'!D68</f>
        <v>6.8000000000000005E-2</v>
      </c>
      <c r="F67" s="604"/>
      <c r="G67" s="952">
        <f>'BP FORMAT JUILLET 2023'!F68</f>
        <v>0</v>
      </c>
      <c r="H67" s="952"/>
      <c r="I67" s="952"/>
      <c r="J67" s="952"/>
    </row>
    <row r="68" spans="1:10" ht="26.45" customHeight="1" x14ac:dyDescent="0.3">
      <c r="A68" s="962" t="s">
        <v>52</v>
      </c>
      <c r="B68" s="962"/>
      <c r="C68" s="952">
        <f>'BP FORMAT JUILLET 2023'!C69</f>
        <v>252.60075000000003</v>
      </c>
      <c r="D68" s="952"/>
      <c r="E68" s="603">
        <f>'BP FORMAT JUILLET 2023'!D69</f>
        <v>2.9000000000000001E-2</v>
      </c>
      <c r="F68" s="604"/>
      <c r="G68" s="952">
        <f>'BP FORMAT JUILLET 2023'!F69</f>
        <v>7.33</v>
      </c>
      <c r="H68" s="952"/>
      <c r="I68" s="952"/>
      <c r="J68" s="952"/>
    </row>
    <row r="69" spans="1:10" ht="21.6" customHeight="1" x14ac:dyDescent="0.3">
      <c r="A69" s="967" t="s">
        <v>270</v>
      </c>
      <c r="B69" s="967"/>
      <c r="C69" s="952"/>
      <c r="D69" s="952"/>
      <c r="E69" s="602"/>
      <c r="F69" s="604"/>
      <c r="G69" s="952"/>
      <c r="H69" s="952"/>
      <c r="I69" s="952">
        <f>'BP FORMAT JUILLET 2023'!G70</f>
        <v>-214.93</v>
      </c>
      <c r="J69" s="952"/>
    </row>
    <row r="70" spans="1:10" ht="27.6" customHeight="1" x14ac:dyDescent="0.3">
      <c r="A70" s="962" t="s">
        <v>53</v>
      </c>
      <c r="B70" s="962"/>
      <c r="C70" s="952">
        <f>'BP FORMAT JUILLET 2023'!C71</f>
        <v>257.10000000000002</v>
      </c>
      <c r="D70" s="952"/>
      <c r="E70" s="605">
        <f>'BP FORMAT JUILLET 2023'!D71</f>
        <v>0.11310000000000001</v>
      </c>
      <c r="F70" s="604"/>
      <c r="G70" s="965">
        <f>'BP FORMAT JUILLET 2023'!F71</f>
        <v>-29.08</v>
      </c>
      <c r="H70" s="965"/>
      <c r="I70" s="952"/>
      <c r="J70" s="952"/>
    </row>
    <row r="71" spans="1:10" ht="22.9" customHeight="1" x14ac:dyDescent="0.3">
      <c r="A71" s="962" t="s">
        <v>54</v>
      </c>
      <c r="B71" s="962"/>
      <c r="C71" s="952"/>
      <c r="D71" s="952"/>
      <c r="E71" s="602"/>
      <c r="F71" s="604"/>
      <c r="G71" s="966">
        <f>'BP FORMAT JUILLET 2023'!F72</f>
        <v>570.58999999999992</v>
      </c>
      <c r="H71" s="966"/>
      <c r="I71" s="966">
        <f>'BP FORMAT JUILLET 2023'!G72</f>
        <v>1110.1599999999999</v>
      </c>
      <c r="J71" s="966"/>
    </row>
    <row r="72" spans="1:10" ht="25.15" customHeight="1" x14ac:dyDescent="0.3">
      <c r="A72" s="964" t="s">
        <v>242</v>
      </c>
      <c r="B72" s="964"/>
      <c r="C72" s="958"/>
      <c r="D72" s="958"/>
      <c r="E72" s="576"/>
      <c r="F72" s="578"/>
      <c r="G72" s="958"/>
      <c r="H72" s="958"/>
      <c r="I72" s="958"/>
      <c r="J72" s="958"/>
    </row>
    <row r="73" spans="1:10" ht="25.15" customHeight="1" x14ac:dyDescent="0.3">
      <c r="A73" s="962" t="s">
        <v>243</v>
      </c>
      <c r="B73" s="962"/>
      <c r="C73" s="952">
        <f>'BP FORMAT JUILLET 2023'!C74</f>
        <v>0</v>
      </c>
      <c r="D73" s="952"/>
      <c r="E73" s="603">
        <f>'BP FORMAT JUILLET 2023'!D74</f>
        <v>0</v>
      </c>
      <c r="F73" s="604">
        <f>'BP FORMAT JUILLET 2023'!E74</f>
        <v>0</v>
      </c>
      <c r="G73" s="952"/>
      <c r="H73" s="952"/>
      <c r="I73" s="952"/>
      <c r="J73" s="952"/>
    </row>
    <row r="74" spans="1:10" ht="25.15" hidden="1" customHeight="1" x14ac:dyDescent="0.3">
      <c r="A74" s="962" t="s">
        <v>244</v>
      </c>
      <c r="B74" s="962"/>
      <c r="C74" s="952">
        <f>'BP FORMAT JUILLET 2023'!C75</f>
        <v>2694.8318181818181</v>
      </c>
      <c r="D74" s="952"/>
      <c r="E74" s="603">
        <f>'BP FORMAT JUILLET 2023'!D75</f>
        <v>0.01</v>
      </c>
      <c r="F74" s="604">
        <f>'BP FORMAT JUILLET 2023'!E75</f>
        <v>0.02</v>
      </c>
      <c r="G74" s="952"/>
      <c r="H74" s="952"/>
      <c r="I74" s="952">
        <f>'BP FORMAT JUILLET 2023'!G75</f>
        <v>53.9</v>
      </c>
      <c r="J74" s="952"/>
    </row>
    <row r="75" spans="1:10" ht="19.899999999999999" hidden="1" customHeight="1" x14ac:dyDescent="0.3">
      <c r="A75" s="962" t="s">
        <v>198</v>
      </c>
      <c r="B75" s="962"/>
      <c r="C75" s="953">
        <f>'BP FORMAT JUILLET 2023'!C76</f>
        <v>0</v>
      </c>
      <c r="D75" s="953"/>
      <c r="E75" s="603">
        <f>'BP FORMAT JUILLET 2023'!D76</f>
        <v>0</v>
      </c>
      <c r="F75" s="604">
        <f>'BP FORMAT JUILLET 2023'!E76</f>
        <v>0</v>
      </c>
      <c r="G75" s="953"/>
      <c r="H75" s="953"/>
      <c r="I75" s="953"/>
      <c r="J75" s="953"/>
    </row>
    <row r="76" spans="1:10" ht="19.899999999999999" hidden="1" customHeight="1" x14ac:dyDescent="0.3">
      <c r="A76" s="738" t="s">
        <v>374</v>
      </c>
      <c r="B76" s="739"/>
      <c r="C76" s="953">
        <f>'BP FORMAT JUILLET 2023'!C77</f>
        <v>0</v>
      </c>
      <c r="D76" s="953"/>
      <c r="E76" s="603">
        <f>'BP FORMAT JUILLET 2023'!D77</f>
        <v>0</v>
      </c>
      <c r="F76" s="604">
        <f>'BP FORMAT JUILLET 2023'!E77</f>
        <v>0.02</v>
      </c>
      <c r="G76" s="953"/>
      <c r="H76" s="953"/>
      <c r="I76" s="953"/>
      <c r="J76" s="953"/>
    </row>
    <row r="77" spans="1:10" ht="19.149999999999999" customHeight="1" x14ac:dyDescent="0.3">
      <c r="A77" s="963" t="s">
        <v>216</v>
      </c>
      <c r="B77" s="963"/>
      <c r="C77" s="958"/>
      <c r="D77" s="958"/>
      <c r="E77" s="581"/>
      <c r="F77" s="578"/>
      <c r="G77" s="952">
        <f>'BP FORMAT JUILLET 2023'!F78</f>
        <v>2097.2918181818186</v>
      </c>
      <c r="H77" s="952"/>
      <c r="I77" s="958"/>
      <c r="J77" s="958"/>
    </row>
    <row r="78" spans="1:10" ht="37.15" hidden="1" customHeight="1" x14ac:dyDescent="0.3">
      <c r="A78" s="962" t="s">
        <v>245</v>
      </c>
      <c r="B78" s="962"/>
      <c r="C78" s="958"/>
      <c r="D78" s="958"/>
      <c r="E78" s="581"/>
      <c r="F78" s="580"/>
      <c r="G78" s="952">
        <f>'BP FORMAT JUILLET 2023'!F79</f>
        <v>132</v>
      </c>
      <c r="H78" s="952"/>
      <c r="I78" s="952">
        <f>'BP FORMAT JUILLET 2023'!G79</f>
        <v>132</v>
      </c>
      <c r="J78" s="952"/>
    </row>
    <row r="79" spans="1:10" ht="37.15" hidden="1" customHeight="1" x14ac:dyDescent="0.3">
      <c r="A79" s="962" t="s">
        <v>246</v>
      </c>
      <c r="B79" s="962"/>
      <c r="C79" s="958"/>
      <c r="D79" s="958"/>
      <c r="E79" s="581"/>
      <c r="F79" s="580"/>
      <c r="G79" s="952">
        <f>'BP FORMAT JUILLET 2023'!F80</f>
        <v>45.8</v>
      </c>
      <c r="H79" s="952"/>
      <c r="I79" s="958"/>
      <c r="J79" s="958"/>
    </row>
    <row r="80" spans="1:10" ht="37.15" hidden="1" customHeight="1" x14ac:dyDescent="0.3">
      <c r="A80" s="740" t="s">
        <v>268</v>
      </c>
      <c r="B80" s="741"/>
      <c r="C80" s="576"/>
      <c r="D80" s="576"/>
      <c r="E80" s="581"/>
      <c r="F80" s="580"/>
      <c r="G80" s="952"/>
      <c r="H80" s="952"/>
      <c r="I80" s="576"/>
      <c r="J80" s="576"/>
    </row>
    <row r="81" spans="1:10" ht="37.15" hidden="1" customHeight="1" x14ac:dyDescent="0.3">
      <c r="A81" s="739" t="s">
        <v>385</v>
      </c>
      <c r="B81" s="843"/>
      <c r="C81" s="576"/>
      <c r="D81" s="576"/>
      <c r="E81" s="581"/>
      <c r="F81" s="580"/>
      <c r="G81" s="952"/>
      <c r="H81" s="952"/>
      <c r="I81" s="576"/>
      <c r="J81" s="576"/>
    </row>
    <row r="82" spans="1:10" ht="28.9" customHeight="1" x14ac:dyDescent="0.3">
      <c r="A82" s="955" t="s">
        <v>64</v>
      </c>
      <c r="B82" s="955"/>
      <c r="C82" s="955"/>
      <c r="D82" s="955"/>
      <c r="E82" s="955"/>
      <c r="F82" s="955"/>
      <c r="G82" s="955"/>
      <c r="H82" s="955"/>
      <c r="I82" s="952">
        <f>'BP FORMAT JUILLET 2023'!J83</f>
        <v>1891.5418181818186</v>
      </c>
      <c r="J82" s="952"/>
    </row>
    <row r="83" spans="1:10" ht="19.149999999999999" customHeight="1" x14ac:dyDescent="0.3">
      <c r="A83" s="961" t="s">
        <v>217</v>
      </c>
      <c r="B83" s="961"/>
      <c r="C83" s="961"/>
      <c r="D83" s="961"/>
      <c r="E83" s="961"/>
      <c r="F83" s="961"/>
      <c r="G83" s="961"/>
      <c r="H83" s="961"/>
      <c r="I83" s="952">
        <f>'BP FORMAT JUILLET 2023'!J84</f>
        <v>1991.181818181818</v>
      </c>
      <c r="J83" s="952"/>
    </row>
    <row r="84" spans="1:10" ht="19.149999999999999" customHeight="1" x14ac:dyDescent="0.3">
      <c r="A84" s="961" t="s">
        <v>218</v>
      </c>
      <c r="B84" s="961"/>
      <c r="C84" s="961"/>
      <c r="D84" s="961"/>
      <c r="E84" s="961"/>
      <c r="F84" s="961"/>
      <c r="G84" s="961"/>
      <c r="H84" s="961"/>
      <c r="I84" s="952">
        <f>'BP FORMAT JUILLET 2023'!J85</f>
        <v>239.92000000000002</v>
      </c>
      <c r="J84" s="952"/>
    </row>
    <row r="85" spans="1:10" ht="19.149999999999999" customHeight="1" x14ac:dyDescent="0.3">
      <c r="A85" s="961" t="s">
        <v>289</v>
      </c>
      <c r="B85" s="961"/>
      <c r="C85" s="961"/>
      <c r="D85" s="961"/>
      <c r="E85" s="961"/>
      <c r="F85" s="961"/>
      <c r="G85" s="961"/>
      <c r="H85" s="961"/>
      <c r="I85" s="952">
        <f>'BP FORMAT JUILLET 2023'!J86</f>
        <v>0</v>
      </c>
      <c r="J85" s="952"/>
    </row>
    <row r="86" spans="1:10" ht="33" customHeight="1" x14ac:dyDescent="0.3">
      <c r="A86" s="957" t="s">
        <v>219</v>
      </c>
      <c r="B86" s="957"/>
      <c r="C86" s="957" t="s">
        <v>59</v>
      </c>
      <c r="D86" s="957"/>
      <c r="E86" s="957" t="s">
        <v>66</v>
      </c>
      <c r="F86" s="957"/>
      <c r="G86" s="957" t="s">
        <v>60</v>
      </c>
      <c r="H86" s="957"/>
      <c r="I86" s="958"/>
      <c r="J86" s="958"/>
    </row>
    <row r="87" spans="1:10" ht="19.149999999999999" customHeight="1" x14ac:dyDescent="0.3">
      <c r="A87" s="957"/>
      <c r="B87" s="957"/>
      <c r="C87" s="959">
        <f>'BP FORMAT JUILLET 2023'!D88</f>
        <v>1991.181818181818</v>
      </c>
      <c r="D87" s="957"/>
      <c r="E87" s="960">
        <f>'BP FORMAT JUILLET 2023'!F88</f>
        <v>2.9000000000000001E-2</v>
      </c>
      <c r="F87" s="957"/>
      <c r="G87" s="957">
        <f>'BP FORMAT JUILLET 2023'!H88</f>
        <v>57.74</v>
      </c>
      <c r="H87" s="957"/>
      <c r="I87" s="958"/>
      <c r="J87" s="958"/>
    </row>
    <row r="88" spans="1:10" ht="22.9" customHeight="1" x14ac:dyDescent="0.3">
      <c r="A88" s="955" t="s">
        <v>269</v>
      </c>
      <c r="B88" s="955"/>
      <c r="C88" s="955"/>
      <c r="D88" s="955"/>
      <c r="E88" s="955"/>
      <c r="F88" s="955"/>
      <c r="G88" s="955"/>
      <c r="H88" s="955"/>
      <c r="I88" s="952">
        <f>'BP FORMAT JUILLET 2023'!J89</f>
        <v>1833.8018181818186</v>
      </c>
      <c r="J88" s="952"/>
    </row>
    <row r="89" spans="1:10" ht="19.149999999999999" customHeight="1" x14ac:dyDescent="0.3">
      <c r="A89" s="955" t="s">
        <v>57</v>
      </c>
      <c r="B89" s="955"/>
      <c r="C89" s="955"/>
      <c r="D89" s="955"/>
      <c r="E89" s="955"/>
      <c r="F89" s="955"/>
      <c r="G89" s="955"/>
      <c r="H89" s="955"/>
      <c r="I89" s="952">
        <f>'BP FORMAT JUILLET 2023'!J90</f>
        <v>3858.8918181818181</v>
      </c>
      <c r="J89" s="952"/>
    </row>
    <row r="90" spans="1:10" customFormat="1" ht="25.9" customHeight="1" x14ac:dyDescent="0.25">
      <c r="A90" s="59"/>
      <c r="B90" s="608" t="s">
        <v>63</v>
      </c>
      <c r="C90" s="608" t="s">
        <v>272</v>
      </c>
      <c r="D90" s="956" t="s">
        <v>274</v>
      </c>
      <c r="E90" s="956"/>
      <c r="F90" s="956" t="s">
        <v>275</v>
      </c>
      <c r="G90" s="956"/>
      <c r="H90" s="361"/>
      <c r="I90" s="361"/>
      <c r="J90" s="173"/>
    </row>
    <row r="91" spans="1:10" customFormat="1" ht="25.9" customHeight="1" x14ac:dyDescent="0.25">
      <c r="A91" s="609" t="s">
        <v>273</v>
      </c>
      <c r="B91" s="582">
        <f>'BP FORMAT JUILLET 2023'!B92</f>
        <v>57.74</v>
      </c>
      <c r="C91" s="582"/>
      <c r="D91" s="360" t="s">
        <v>99</v>
      </c>
      <c r="E91" s="582"/>
      <c r="F91" s="616" t="s">
        <v>285</v>
      </c>
      <c r="G91" s="582"/>
      <c r="H91" s="360"/>
      <c r="I91" s="361"/>
      <c r="J91" s="173"/>
    </row>
    <row r="92" spans="1:10" customFormat="1" ht="25.9" customHeight="1" x14ac:dyDescent="0.25">
      <c r="A92" s="610" t="s">
        <v>277</v>
      </c>
      <c r="B92" s="583">
        <f>'BP FORMAT JUILLET 2023'!B93</f>
        <v>257.10000000000002</v>
      </c>
      <c r="C92" s="583"/>
      <c r="D92" s="360" t="s">
        <v>92</v>
      </c>
      <c r="E92" s="582"/>
      <c r="F92" s="616" t="s">
        <v>231</v>
      </c>
      <c r="G92" s="582"/>
      <c r="H92" s="361"/>
      <c r="I92" s="361"/>
      <c r="J92" s="173"/>
    </row>
    <row r="93" spans="1:10" customFormat="1" ht="25.9" customHeight="1" x14ac:dyDescent="0.25">
      <c r="A93" s="611" t="s">
        <v>177</v>
      </c>
      <c r="B93" s="583">
        <f>'BP FORMAT JUILLET 2023'!B94</f>
        <v>2694.8318181818181</v>
      </c>
      <c r="C93" s="583"/>
      <c r="D93" s="360" t="s">
        <v>230</v>
      </c>
      <c r="E93" s="582"/>
      <c r="F93" s="616" t="s">
        <v>230</v>
      </c>
      <c r="G93" s="582"/>
      <c r="H93" s="361"/>
      <c r="I93" s="361"/>
      <c r="J93" s="173"/>
    </row>
    <row r="94" spans="1:10" customFormat="1" ht="25.9" customHeight="1" x14ac:dyDescent="0.25">
      <c r="A94" s="611" t="s">
        <v>61</v>
      </c>
      <c r="B94" s="583">
        <f>'BP FORMAT JUILLET 2023'!B95</f>
        <v>1991.181818181818</v>
      </c>
      <c r="C94" s="583"/>
      <c r="D94" s="361"/>
      <c r="E94" s="361"/>
      <c r="F94" s="617"/>
      <c r="G94" s="361"/>
      <c r="H94" s="361"/>
      <c r="I94" s="361"/>
      <c r="J94" s="173"/>
    </row>
    <row r="95" spans="1:10" customFormat="1" ht="15" customHeight="1" x14ac:dyDescent="0.25">
      <c r="A95" s="865" t="s">
        <v>58</v>
      </c>
      <c r="B95" s="865"/>
      <c r="C95" s="865"/>
      <c r="D95" s="865"/>
      <c r="E95" s="865"/>
      <c r="F95" s="618"/>
      <c r="G95" s="23"/>
      <c r="H95" s="23"/>
      <c r="I95" s="23"/>
      <c r="J95" s="23"/>
    </row>
    <row r="96" spans="1:10" s="23" customFormat="1" ht="12" customHeight="1" x14ac:dyDescent="0.25">
      <c r="A96" s="43" t="s">
        <v>62</v>
      </c>
      <c r="F96" s="618"/>
    </row>
    <row r="97" spans="1:9" s="23" customFormat="1" ht="12" customHeight="1" x14ac:dyDescent="0.25">
      <c r="A97" s="23" t="s">
        <v>290</v>
      </c>
      <c r="F97" s="618"/>
    </row>
    <row r="98" spans="1:9" s="23" customFormat="1" ht="12" hidden="1" customHeight="1" x14ac:dyDescent="0.25">
      <c r="A98" s="43"/>
      <c r="F98" s="618"/>
    </row>
    <row r="99" spans="1:9" s="23" customFormat="1" ht="12" hidden="1" customHeight="1" x14ac:dyDescent="0.3">
      <c r="A99" s="584" t="s">
        <v>88</v>
      </c>
      <c r="B99" s="235"/>
      <c r="C99" s="585">
        <v>7.4999999999999997E-3</v>
      </c>
      <c r="D99" s="215">
        <f>ROUND(J34*C99,2)</f>
        <v>20.21</v>
      </c>
      <c r="E99" s="215"/>
      <c r="F99" s="589"/>
      <c r="G99" s="214"/>
      <c r="H99" s="24"/>
      <c r="I99" s="24"/>
    </row>
    <row r="100" spans="1:9" ht="30.75" hidden="1" customHeight="1" x14ac:dyDescent="0.3">
      <c r="A100" s="584" t="s">
        <v>89</v>
      </c>
      <c r="B100" s="235"/>
      <c r="C100" s="587">
        <f>(2.4-0.95)%</f>
        <v>1.4499999999999999E-2</v>
      </c>
      <c r="D100" s="215">
        <f>ROUND(C60*C100,2)</f>
        <v>39.08</v>
      </c>
    </row>
    <row r="101" spans="1:9" ht="30.75" hidden="1" customHeight="1" x14ac:dyDescent="0.3">
      <c r="A101" s="588" t="s">
        <v>235</v>
      </c>
      <c r="B101" s="235"/>
      <c r="D101" s="215">
        <f>D99+D100</f>
        <v>59.29</v>
      </c>
    </row>
    <row r="102" spans="1:9" ht="30.75" hidden="1" customHeight="1" x14ac:dyDescent="0.3">
      <c r="A102" s="584" t="s">
        <v>236</v>
      </c>
      <c r="C102" s="215"/>
    </row>
    <row r="103" spans="1:9" ht="30.75" hidden="1" customHeight="1" x14ac:dyDescent="0.3">
      <c r="A103" s="584"/>
      <c r="C103" s="215"/>
    </row>
    <row r="104" spans="1:9" ht="30.75" hidden="1" customHeight="1" x14ac:dyDescent="0.3">
      <c r="A104" s="584" t="s">
        <v>90</v>
      </c>
      <c r="B104" s="241"/>
      <c r="C104" s="215">
        <v>1.7000000000000001E-2</v>
      </c>
      <c r="D104" s="215">
        <f>ROUND(C64*C104,2)</f>
        <v>42.55</v>
      </c>
    </row>
    <row r="105" spans="1:9" ht="30.75" hidden="1" customHeight="1" x14ac:dyDescent="0.3">
      <c r="A105" s="584"/>
      <c r="B105" s="241"/>
      <c r="C105" s="215"/>
    </row>
    <row r="106" spans="1:9" ht="30.75" hidden="1" customHeight="1" x14ac:dyDescent="0.3">
      <c r="A106" s="584" t="s">
        <v>237</v>
      </c>
      <c r="B106" s="241"/>
      <c r="C106" s="215"/>
    </row>
    <row r="107" spans="1:9" ht="30.75" hidden="1" customHeight="1" x14ac:dyDescent="0.3">
      <c r="B107" s="232"/>
      <c r="C107" s="250"/>
      <c r="F107" s="619"/>
    </row>
    <row r="108" spans="1:9" ht="30.75" hidden="1" customHeight="1" x14ac:dyDescent="0.3">
      <c r="A108" s="584" t="s">
        <v>88</v>
      </c>
      <c r="B108" s="235"/>
      <c r="C108" s="585">
        <v>7.4999999999999997E-3</v>
      </c>
      <c r="D108" s="215">
        <f>ROUND(J34*C108,2)</f>
        <v>20.21</v>
      </c>
      <c r="E108" s="214"/>
    </row>
    <row r="109" spans="1:9" ht="30.75" hidden="1" customHeight="1" x14ac:dyDescent="0.3">
      <c r="A109" s="584" t="s">
        <v>89</v>
      </c>
      <c r="B109" s="235"/>
      <c r="C109" s="587">
        <f>(2.4)%</f>
        <v>2.4E-2</v>
      </c>
      <c r="D109" s="215">
        <f>ROUND(C60*C109,2)</f>
        <v>64.680000000000007</v>
      </c>
      <c r="E109" s="589"/>
    </row>
    <row r="110" spans="1:9" ht="30.75" hidden="1" customHeight="1" x14ac:dyDescent="0.3">
      <c r="A110" s="588" t="s">
        <v>238</v>
      </c>
      <c r="B110" s="235"/>
      <c r="E110" s="589"/>
    </row>
    <row r="111" spans="1:9" ht="30.75" hidden="1" customHeight="1" x14ac:dyDescent="0.3">
      <c r="A111" s="584" t="s">
        <v>236</v>
      </c>
      <c r="C111" s="215"/>
      <c r="E111" s="215">
        <f>D109+D108-D113</f>
        <v>42.340000000000018</v>
      </c>
    </row>
    <row r="112" spans="1:9" ht="30.75" hidden="1" customHeight="1" x14ac:dyDescent="0.3">
      <c r="A112" s="584"/>
      <c r="C112" s="215"/>
      <c r="E112" s="589"/>
    </row>
    <row r="113" spans="1:12" ht="30.75" hidden="1" customHeight="1" x14ac:dyDescent="0.3">
      <c r="A113" s="584" t="s">
        <v>90</v>
      </c>
      <c r="B113" s="241"/>
      <c r="C113" s="215">
        <v>1.7000000000000001E-2</v>
      </c>
      <c r="D113" s="215">
        <f>ROUND(C64*C113,2)</f>
        <v>42.55</v>
      </c>
    </row>
    <row r="114" spans="1:12" ht="30.75" hidden="1" customHeight="1" x14ac:dyDescent="0.3">
      <c r="C114" s="586"/>
      <c r="D114" s="586"/>
      <c r="E114" s="586"/>
    </row>
    <row r="115" spans="1:12" ht="30.75" hidden="1" customHeight="1" x14ac:dyDescent="0.3">
      <c r="B115" s="235"/>
    </row>
    <row r="116" spans="1:12" ht="30.75" customHeight="1" x14ac:dyDescent="0.3">
      <c r="B116" s="235"/>
    </row>
    <row r="117" spans="1:12" ht="30.75" customHeight="1" x14ac:dyDescent="0.3">
      <c r="B117" s="235"/>
    </row>
    <row r="118" spans="1:12" ht="30.75" customHeight="1" x14ac:dyDescent="0.3">
      <c r="A118" s="59"/>
      <c r="B118" s="559"/>
      <c r="C118" s="559"/>
      <c r="D118" s="951" t="s">
        <v>82</v>
      </c>
      <c r="E118" s="951"/>
      <c r="F118" s="951"/>
      <c r="G118" s="951"/>
      <c r="H118" s="951"/>
    </row>
    <row r="119" spans="1:12" ht="18" customHeight="1" x14ac:dyDescent="0.3">
      <c r="A119"/>
      <c r="B119"/>
      <c r="C119"/>
      <c r="D119" s="708"/>
      <c r="E119" s="708"/>
      <c r="F119" s="620"/>
      <c r="G119" s="559"/>
      <c r="H119" s="559"/>
      <c r="I119" s="25"/>
    </row>
    <row r="120" spans="1:12" customFormat="1" ht="36" customHeight="1" x14ac:dyDescent="0.25">
      <c r="D120" s="954" t="s">
        <v>85</v>
      </c>
      <c r="E120" s="954"/>
      <c r="F120" s="621" t="s">
        <v>32</v>
      </c>
      <c r="G120" s="612" t="s">
        <v>276</v>
      </c>
      <c r="H120" s="612" t="s">
        <v>93</v>
      </c>
      <c r="I120" s="25"/>
      <c r="J120" s="25"/>
    </row>
    <row r="121" spans="1:12" customFormat="1" ht="39.6" customHeight="1" x14ac:dyDescent="0.25">
      <c r="D121" s="946" t="s">
        <v>86</v>
      </c>
      <c r="E121" s="946"/>
      <c r="F121" s="625">
        <f>'BP FORMAT JUILLET 2023'!C120</f>
        <v>0</v>
      </c>
      <c r="G121" s="591">
        <f>'BP FORMAT JUILLET 2023'!D120</f>
        <v>1E-3</v>
      </c>
      <c r="H121" s="590">
        <f t="shared" ref="H121:H129" si="1">ROUND(F121*G121,2)</f>
        <v>0</v>
      </c>
      <c r="I121" s="25"/>
      <c r="J121" s="25"/>
      <c r="K121" s="27"/>
      <c r="L121" s="27"/>
    </row>
    <row r="122" spans="1:12" customFormat="1" ht="39.6" customHeight="1" x14ac:dyDescent="0.25">
      <c r="D122" s="946" t="s">
        <v>266</v>
      </c>
      <c r="E122" s="946"/>
      <c r="F122" s="625">
        <f>'BP FORMAT JUILLET 2023'!C121</f>
        <v>2694.8318181818181</v>
      </c>
      <c r="G122" s="591">
        <f>'BP FORMAT JUILLET 2023'!D121</f>
        <v>5.0000000000000001E-3</v>
      </c>
      <c r="H122" s="590">
        <f t="shared" si="1"/>
        <v>13.47</v>
      </c>
      <c r="I122" s="25"/>
      <c r="J122" s="25"/>
      <c r="K122" s="27"/>
      <c r="L122" s="27"/>
    </row>
    <row r="123" spans="1:12" customFormat="1" ht="39.6" customHeight="1" x14ac:dyDescent="0.25">
      <c r="D123" s="946" t="s">
        <v>71</v>
      </c>
      <c r="E123" s="946"/>
      <c r="F123" s="625">
        <f>'BP FORMAT JUILLET 2023'!C122</f>
        <v>2694.8318181818181</v>
      </c>
      <c r="G123" s="591">
        <f>'BP FORMAT JUILLET 2023'!D122</f>
        <v>3.2000000000000001E-2</v>
      </c>
      <c r="H123" s="590">
        <f t="shared" si="1"/>
        <v>86.23</v>
      </c>
      <c r="I123" s="25"/>
      <c r="J123" s="25"/>
      <c r="K123" s="27"/>
      <c r="L123" s="27"/>
    </row>
    <row r="124" spans="1:12" customFormat="1" ht="39.6" customHeight="1" x14ac:dyDescent="0.25">
      <c r="D124" s="946" t="s">
        <v>83</v>
      </c>
      <c r="E124" s="946"/>
      <c r="F124" s="625">
        <f>'BP FORMAT JUILLET 2023'!C123</f>
        <v>2694.8318181818181</v>
      </c>
      <c r="G124" s="591">
        <f>'BP FORMAT JUILLET 2023'!D123</f>
        <v>3.0000000000000001E-3</v>
      </c>
      <c r="H124" s="590">
        <f t="shared" si="1"/>
        <v>8.08</v>
      </c>
      <c r="I124" s="25"/>
      <c r="J124" s="25"/>
      <c r="K124" s="27"/>
      <c r="L124" s="27"/>
    </row>
    <row r="125" spans="1:12" customFormat="1" ht="39.6" customHeight="1" x14ac:dyDescent="0.25">
      <c r="D125" s="946" t="s">
        <v>213</v>
      </c>
      <c r="E125" s="946"/>
      <c r="F125" s="625">
        <f>'BP FORMAT JUILLET 2023'!C124</f>
        <v>107.8</v>
      </c>
      <c r="G125" s="591">
        <f>'BP FORMAT JUILLET 2023'!D124</f>
        <v>0.08</v>
      </c>
      <c r="H125" s="590">
        <f t="shared" si="1"/>
        <v>8.6199999999999992</v>
      </c>
      <c r="I125" s="27"/>
      <c r="J125" s="25"/>
      <c r="K125" s="27"/>
      <c r="L125" s="27"/>
    </row>
    <row r="126" spans="1:12" customFormat="1" ht="39.6" customHeight="1" x14ac:dyDescent="0.25">
      <c r="D126" s="946" t="s">
        <v>72</v>
      </c>
      <c r="E126" s="946"/>
      <c r="F126" s="625">
        <f>'BP FORMAT JUILLET 2023'!C125</f>
        <v>0</v>
      </c>
      <c r="G126" s="591">
        <f>'BP FORMAT JUILLET 2023'!D125</f>
        <v>0.2</v>
      </c>
      <c r="H126" s="590">
        <f t="shared" si="1"/>
        <v>0</v>
      </c>
      <c r="I126" s="27"/>
      <c r="J126" s="27"/>
      <c r="K126" s="27"/>
      <c r="L126" s="27"/>
    </row>
    <row r="127" spans="1:12" customFormat="1" ht="39.6" customHeight="1" x14ac:dyDescent="0.25">
      <c r="D127" s="946" t="s">
        <v>652</v>
      </c>
      <c r="E127" s="946"/>
      <c r="F127" s="625">
        <f>'BP FORMAT JUILLET 2023'!C126</f>
        <v>2694.8318181818181</v>
      </c>
      <c r="G127" s="591">
        <f>'BP FORMAT JUILLET 2023'!D126</f>
        <v>1.6000000000000001E-4</v>
      </c>
      <c r="H127" s="590">
        <f t="shared" si="1"/>
        <v>0.43</v>
      </c>
      <c r="I127" s="27"/>
      <c r="J127" s="27"/>
      <c r="K127" s="27"/>
      <c r="L127" s="27"/>
    </row>
    <row r="128" spans="1:12" customFormat="1" ht="39.6" customHeight="1" x14ac:dyDescent="0.25">
      <c r="D128" s="946" t="s">
        <v>653</v>
      </c>
      <c r="E128" s="946"/>
      <c r="F128" s="625">
        <f>'BP FORMAT JUILLET 2023'!C127</f>
        <v>2694.8318181818181</v>
      </c>
      <c r="G128" s="591">
        <f>'BP FORMAT JUILLET 2023'!D127</f>
        <v>1.6800000000000002E-2</v>
      </c>
      <c r="H128" s="590">
        <f t="shared" si="1"/>
        <v>45.27</v>
      </c>
      <c r="I128" s="27"/>
      <c r="J128" s="27"/>
      <c r="K128" s="27"/>
      <c r="L128" s="27"/>
    </row>
    <row r="129" spans="1:12" customFormat="1" ht="39.6" customHeight="1" x14ac:dyDescent="0.25">
      <c r="D129" s="946" t="s">
        <v>77</v>
      </c>
      <c r="E129" s="946"/>
      <c r="F129" s="625">
        <f>'BP FORMAT JUILLET 2023'!C128</f>
        <v>0</v>
      </c>
      <c r="G129" s="591">
        <f>'BP FORMAT JUILLET 2023'!D128</f>
        <v>1.2300000000000002E-2</v>
      </c>
      <c r="H129" s="590">
        <f t="shared" si="1"/>
        <v>0</v>
      </c>
      <c r="I129" s="27"/>
      <c r="J129" s="27"/>
      <c r="K129" s="27"/>
      <c r="L129" s="27"/>
    </row>
    <row r="130" spans="1:12" customFormat="1" ht="39.6" customHeight="1" x14ac:dyDescent="0.25">
      <c r="A130" s="27"/>
      <c r="B130" s="27"/>
      <c r="D130" s="27"/>
      <c r="F130" s="622"/>
      <c r="G130" s="591"/>
      <c r="H130" s="590">
        <f>SUM(H121:H129)</f>
        <v>162.10000000000002</v>
      </c>
      <c r="I130" s="27"/>
      <c r="J130" s="27"/>
      <c r="K130" s="27"/>
      <c r="L130" s="27"/>
    </row>
    <row r="131" spans="1:12" customFormat="1" ht="33.6" customHeight="1" x14ac:dyDescent="0.3">
      <c r="A131" s="217"/>
      <c r="B131" s="217"/>
      <c r="C131" s="214"/>
      <c r="D131" s="215"/>
      <c r="E131" s="215"/>
      <c r="F131" s="623"/>
      <c r="G131" s="27"/>
      <c r="I131" s="27"/>
      <c r="J131" s="27"/>
    </row>
    <row r="132" spans="1:12" customFormat="1" x14ac:dyDescent="0.3">
      <c r="A132" s="217"/>
      <c r="B132" s="217"/>
      <c r="C132" s="214"/>
      <c r="D132" s="215"/>
      <c r="E132" s="215"/>
      <c r="F132" s="589"/>
      <c r="G132" s="214"/>
      <c r="H132" s="24"/>
      <c r="I132" s="24"/>
      <c r="J132" s="27"/>
    </row>
  </sheetData>
  <mergeCells count="258">
    <mergeCell ref="B6:D6"/>
    <mergeCell ref="G6:J6"/>
    <mergeCell ref="B7:D7"/>
    <mergeCell ref="G7:J7"/>
    <mergeCell ref="B8:D8"/>
    <mergeCell ref="G8:J8"/>
    <mergeCell ref="A3:D3"/>
    <mergeCell ref="F3:J3"/>
    <mergeCell ref="B4:D4"/>
    <mergeCell ref="G4:J4"/>
    <mergeCell ref="B5:D5"/>
    <mergeCell ref="G5:J5"/>
    <mergeCell ref="A13:J13"/>
    <mergeCell ref="A14:F14"/>
    <mergeCell ref="A15:F15"/>
    <mergeCell ref="A16:F16"/>
    <mergeCell ref="A17:F17"/>
    <mergeCell ref="A18:F18"/>
    <mergeCell ref="B9:D9"/>
    <mergeCell ref="G9:J9"/>
    <mergeCell ref="C10:D10"/>
    <mergeCell ref="F10:G10"/>
    <mergeCell ref="F11:G11"/>
    <mergeCell ref="B12:D12"/>
    <mergeCell ref="A25:F25"/>
    <mergeCell ref="A26:F26"/>
    <mergeCell ref="A27:F27"/>
    <mergeCell ref="A28:F28"/>
    <mergeCell ref="A29:F29"/>
    <mergeCell ref="A30:F30"/>
    <mergeCell ref="A19:F19"/>
    <mergeCell ref="A20:F20"/>
    <mergeCell ref="A21:F21"/>
    <mergeCell ref="A22:F22"/>
    <mergeCell ref="A23:F23"/>
    <mergeCell ref="A24:F24"/>
    <mergeCell ref="A36:B36"/>
    <mergeCell ref="C36:D36"/>
    <mergeCell ref="G36:H36"/>
    <mergeCell ref="I36:J36"/>
    <mergeCell ref="A37:B37"/>
    <mergeCell ref="C37:J37"/>
    <mergeCell ref="A31:F31"/>
    <mergeCell ref="A32:F32"/>
    <mergeCell ref="A33:F33"/>
    <mergeCell ref="A34:B34"/>
    <mergeCell ref="D34:I34"/>
    <mergeCell ref="A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86:B87"/>
    <mergeCell ref="C86:D86"/>
    <mergeCell ref="E86:F86"/>
    <mergeCell ref="G86:H86"/>
    <mergeCell ref="I86:J86"/>
    <mergeCell ref="C87:D87"/>
    <mergeCell ref="E87:F87"/>
    <mergeCell ref="G87:H87"/>
    <mergeCell ref="I87:J87"/>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99"/>
  <sheetViews>
    <sheetView topLeftCell="A130" zoomScale="125" zoomScaleNormal="130" workbookViewId="0">
      <selection activeCell="F93" sqref="F93"/>
    </sheetView>
  </sheetViews>
  <sheetFormatPr baseColWidth="10" defaultRowHeight="15" x14ac:dyDescent="0.2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111</v>
      </c>
    </row>
    <row r="2" spans="1:16" s="62" customFormat="1" ht="26.25" hidden="1" customHeight="1" x14ac:dyDescent="0.2">
      <c r="A2" s="67" t="s">
        <v>81</v>
      </c>
      <c r="B2" s="67" t="s">
        <v>112</v>
      </c>
      <c r="C2" s="67" t="s">
        <v>113</v>
      </c>
      <c r="D2" s="67" t="s">
        <v>114</v>
      </c>
      <c r="E2" s="67" t="s">
        <v>115</v>
      </c>
      <c r="F2" s="67"/>
      <c r="G2" s="67"/>
      <c r="H2" s="67"/>
      <c r="I2" s="67"/>
      <c r="J2" s="67"/>
      <c r="K2" s="67" t="s">
        <v>116</v>
      </c>
      <c r="L2" s="67" t="s">
        <v>117</v>
      </c>
      <c r="M2" s="67" t="s">
        <v>118</v>
      </c>
      <c r="N2" s="67" t="s">
        <v>119</v>
      </c>
      <c r="O2" s="67" t="s">
        <v>120</v>
      </c>
      <c r="P2" s="67" t="s">
        <v>121</v>
      </c>
    </row>
    <row r="3" spans="1:16" s="56" customFormat="1" ht="20.25" hidden="1" customHeight="1" x14ac:dyDescent="0.25">
      <c r="A3" s="63" t="s">
        <v>100</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122</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101</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123</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104</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102</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105</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106</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107</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103</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108</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109</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25"/>
    <row r="17" spans="1:18" ht="20.25" hidden="1" customHeight="1" x14ac:dyDescent="0.25"/>
    <row r="18" spans="1:18" ht="20.25" hidden="1" customHeight="1" x14ac:dyDescent="0.25">
      <c r="A18" t="s">
        <v>124</v>
      </c>
    </row>
    <row r="19" spans="1:18" s="56" customFormat="1" ht="20.25" hidden="1" customHeight="1" x14ac:dyDescent="0.25">
      <c r="A19" s="944" t="s">
        <v>125</v>
      </c>
      <c r="B19" s="944"/>
      <c r="C19" s="944"/>
      <c r="D19" s="944"/>
      <c r="E19" s="944"/>
      <c r="F19" s="944"/>
      <c r="G19" s="944"/>
      <c r="H19" s="944"/>
      <c r="I19" s="944"/>
      <c r="J19" s="944"/>
      <c r="K19" s="944"/>
      <c r="L19" s="944"/>
      <c r="M19" s="944"/>
      <c r="N19" s="991"/>
      <c r="O19" s="991"/>
      <c r="P19" s="991"/>
      <c r="Q19" s="991"/>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995" t="s">
        <v>191</v>
      </c>
      <c r="C21" s="995"/>
      <c r="D21" s="995"/>
      <c r="E21" s="995"/>
      <c r="F21" s="995"/>
      <c r="G21" s="995"/>
      <c r="H21" s="995"/>
      <c r="I21" s="995"/>
      <c r="J21" s="73"/>
      <c r="N21" s="992"/>
      <c r="O21" s="992"/>
      <c r="P21" s="992"/>
      <c r="Q21" s="992"/>
    </row>
    <row r="22" spans="1:18" s="56" customFormat="1" ht="20.25" hidden="1" customHeight="1" x14ac:dyDescent="0.25">
      <c r="A22" s="74" t="s">
        <v>126</v>
      </c>
      <c r="B22" s="74" t="s">
        <v>127</v>
      </c>
      <c r="C22" s="74" t="s">
        <v>128</v>
      </c>
      <c r="D22" s="74" t="s">
        <v>129</v>
      </c>
      <c r="E22" s="74" t="s">
        <v>130</v>
      </c>
      <c r="F22" s="74"/>
      <c r="G22" s="74"/>
      <c r="H22" s="74"/>
      <c r="I22" s="74"/>
      <c r="J22" s="74"/>
      <c r="K22" s="74" t="s">
        <v>131</v>
      </c>
      <c r="L22" s="74" t="s">
        <v>132</v>
      </c>
      <c r="M22" s="74" t="s">
        <v>133</v>
      </c>
      <c r="N22" s="74" t="s">
        <v>134</v>
      </c>
    </row>
    <row r="23" spans="1:18" s="76" customFormat="1" ht="20.25" hidden="1" customHeight="1" x14ac:dyDescent="0.2">
      <c r="A23" s="75" t="s">
        <v>81</v>
      </c>
      <c r="B23" s="75" t="s">
        <v>112</v>
      </c>
      <c r="C23" s="75" t="s">
        <v>113</v>
      </c>
      <c r="D23" s="75" t="s">
        <v>114</v>
      </c>
      <c r="E23" s="75" t="s">
        <v>115</v>
      </c>
      <c r="F23" s="75"/>
      <c r="G23" s="75"/>
      <c r="H23" s="75"/>
      <c r="I23" s="75"/>
      <c r="J23" s="75"/>
      <c r="K23" s="75" t="s">
        <v>135</v>
      </c>
      <c r="L23" s="75" t="s">
        <v>136</v>
      </c>
      <c r="M23" s="75" t="s">
        <v>120</v>
      </c>
      <c r="N23" s="75" t="s">
        <v>121</v>
      </c>
      <c r="R23" s="77"/>
    </row>
    <row r="24" spans="1:18" s="56" customFormat="1" ht="20.25" hidden="1" customHeight="1" x14ac:dyDescent="0.25">
      <c r="A24" s="78" t="s">
        <v>100</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122</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101</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123</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104</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102</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105</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106</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107</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103</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108</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109</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4" t="e">
        <v>#DIV/0!</v>
      </c>
      <c r="C36" s="415">
        <v>0</v>
      </c>
      <c r="D36" s="86"/>
      <c r="E36" s="86"/>
      <c r="F36" s="86"/>
      <c r="G36" s="86"/>
      <c r="H36" s="86"/>
      <c r="I36" s="86"/>
      <c r="J36" s="86"/>
      <c r="K36" s="86"/>
      <c r="L36" s="86"/>
      <c r="M36" s="87"/>
      <c r="N36" s="86"/>
      <c r="R36" s="82"/>
    </row>
    <row r="37" spans="1:33" s="56" customFormat="1" ht="20.25" customHeight="1" x14ac:dyDescent="0.25">
      <c r="A37" s="416"/>
      <c r="B37" s="416"/>
      <c r="C37" s="88"/>
      <c r="D37" s="88"/>
      <c r="E37" s="88"/>
      <c r="F37" s="88"/>
      <c r="G37" s="86"/>
      <c r="H37" s="86"/>
      <c r="I37" s="86"/>
      <c r="J37" s="86"/>
      <c r="K37" s="86"/>
      <c r="L37" s="86"/>
      <c r="M37" s="87"/>
      <c r="N37" s="86"/>
      <c r="R37" s="82"/>
    </row>
    <row r="38" spans="1:33" s="56" customFormat="1" ht="20.25" customHeight="1" x14ac:dyDescent="0.25">
      <c r="A38" s="417"/>
      <c r="B38" s="997" t="s">
        <v>111</v>
      </c>
      <c r="C38" s="998"/>
      <c r="D38" s="512" t="s">
        <v>648</v>
      </c>
      <c r="E38" s="996" t="s">
        <v>189</v>
      </c>
      <c r="F38" s="996"/>
      <c r="G38" s="992"/>
      <c r="H38" s="992"/>
      <c r="I38" s="992"/>
      <c r="J38" s="992"/>
      <c r="K38" s="992"/>
      <c r="L38" s="86"/>
      <c r="M38" s="87"/>
      <c r="N38" s="86"/>
      <c r="R38" s="82"/>
    </row>
    <row r="39" spans="1:33" ht="30" customHeight="1" x14ac:dyDescent="0.25">
      <c r="A39" s="417"/>
      <c r="B39" s="418"/>
      <c r="D39" s="89" t="s">
        <v>95</v>
      </c>
      <c r="E39" s="89" t="s">
        <v>142</v>
      </c>
      <c r="F39" s="90" t="s">
        <v>143</v>
      </c>
      <c r="G39" s="171"/>
      <c r="H39" s="155"/>
      <c r="I39" s="155"/>
      <c r="J39" s="155"/>
      <c r="L39" s="168" t="s">
        <v>142</v>
      </c>
      <c r="M39" s="90" t="s">
        <v>143</v>
      </c>
      <c r="N39" s="89" t="s">
        <v>142</v>
      </c>
      <c r="O39" s="90" t="s">
        <v>143</v>
      </c>
      <c r="P39" s="89" t="s">
        <v>142</v>
      </c>
      <c r="Q39" s="90" t="s">
        <v>143</v>
      </c>
      <c r="R39" s="89" t="s">
        <v>142</v>
      </c>
      <c r="S39" s="90" t="s">
        <v>143</v>
      </c>
      <c r="T39" s="89" t="s">
        <v>142</v>
      </c>
      <c r="U39" s="90" t="s">
        <v>143</v>
      </c>
      <c r="V39" s="89" t="s">
        <v>142</v>
      </c>
      <c r="W39" s="90" t="s">
        <v>143</v>
      </c>
      <c r="X39" s="89" t="s">
        <v>142</v>
      </c>
      <c r="Y39" s="90" t="s">
        <v>143</v>
      </c>
      <c r="Z39" s="89" t="s">
        <v>142</v>
      </c>
      <c r="AA39" s="90" t="s">
        <v>143</v>
      </c>
      <c r="AB39" s="89" t="s">
        <v>142</v>
      </c>
      <c r="AC39" s="90" t="s">
        <v>143</v>
      </c>
      <c r="AD39" s="89" t="s">
        <v>142</v>
      </c>
      <c r="AE39" s="90" t="s">
        <v>143</v>
      </c>
      <c r="AF39" s="89" t="s">
        <v>142</v>
      </c>
      <c r="AG39" s="90" t="s">
        <v>143</v>
      </c>
    </row>
    <row r="40" spans="1:33" ht="20.25" customHeight="1" x14ac:dyDescent="0.25">
      <c r="A40" s="417"/>
      <c r="B40" s="994" t="s">
        <v>40</v>
      </c>
      <c r="C40" s="922"/>
      <c r="D40" s="413">
        <f>'BP FORMAT JUILLET 2023'!D51</f>
        <v>6.9000000000000006E-2</v>
      </c>
      <c r="E40" s="92">
        <f>'BP FORMAT JUILLET 2023'!C51</f>
        <v>2694.8318181818181</v>
      </c>
      <c r="F40" s="93">
        <f>ROUND(E40*D40,2)</f>
        <v>185.94</v>
      </c>
      <c r="G40" s="172"/>
      <c r="H40" s="156"/>
      <c r="I40" s="511"/>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25">
      <c r="A41" s="417"/>
      <c r="B41" s="994" t="s">
        <v>41</v>
      </c>
      <c r="C41" s="922"/>
      <c r="D41" s="413">
        <f>'BP FORMAT JUILLET 2023'!D52</f>
        <v>4.0000000000000001E-3</v>
      </c>
      <c r="E41" s="92">
        <f>'BP FORMAT JUILLET 2023'!C52</f>
        <v>2694.8318181818181</v>
      </c>
      <c r="F41" s="93">
        <f t="shared" ref="F41:F47" si="14">ROUND(E41*D41,2)</f>
        <v>10.78</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25">
      <c r="A42" s="417"/>
      <c r="B42" s="994" t="s">
        <v>42</v>
      </c>
      <c r="C42" s="922"/>
      <c r="D42" s="413">
        <f>'BP FORMAT JUILLET 2023'!D53</f>
        <v>4.0099999999999997E-2</v>
      </c>
      <c r="E42" s="92">
        <f>'BP FORMAT JUILLET 2023'!C53</f>
        <v>2694.8318181818181</v>
      </c>
      <c r="F42" s="93">
        <f t="shared" si="14"/>
        <v>108.06</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25">
      <c r="A43" s="417"/>
      <c r="B43" s="994" t="s">
        <v>43</v>
      </c>
      <c r="C43" s="922"/>
      <c r="D43" s="413">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25">
      <c r="A44" s="417"/>
      <c r="B44" s="994"/>
      <c r="C44" s="922"/>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25">
      <c r="A45" s="417"/>
      <c r="B45" s="994"/>
      <c r="C45" s="922"/>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25">
      <c r="A46" s="417"/>
      <c r="B46" s="994"/>
      <c r="C46" s="922"/>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25">
      <c r="A47" s="417"/>
      <c r="B47" s="994"/>
      <c r="C47" s="922"/>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25">
      <c r="A48" s="417"/>
      <c r="B48" s="994"/>
      <c r="C48" s="922"/>
      <c r="D48" s="365"/>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
      <c r="A49" s="417"/>
      <c r="B49" s="993" t="s">
        <v>87</v>
      </c>
      <c r="C49" s="993"/>
      <c r="D49" s="419"/>
      <c r="F49" s="137">
        <f>SUM(F40:F48)</f>
        <v>304.77999999999997</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25">
      <c r="A50" s="417"/>
      <c r="B50" s="937" t="s">
        <v>190</v>
      </c>
      <c r="C50" s="937"/>
      <c r="D50" s="420"/>
      <c r="E50" s="421"/>
      <c r="F50" s="513">
        <f xml:space="preserve"> ROUND(IF(F49/E41&gt;0.1131,0.1131,F49/E41),4)</f>
        <v>0.11310000000000001</v>
      </c>
      <c r="G50" s="102"/>
      <c r="H50" s="102"/>
      <c r="I50" s="102"/>
      <c r="J50" s="102"/>
      <c r="L50" s="103"/>
      <c r="M50" s="103"/>
      <c r="N50" s="103"/>
      <c r="P50" s="102"/>
      <c r="R50" s="102"/>
    </row>
    <row r="51" spans="1:33" ht="20.25" customHeight="1" x14ac:dyDescent="0.25">
      <c r="B51" s="50"/>
      <c r="C51" s="50"/>
      <c r="E51" s="102"/>
      <c r="F51" s="102"/>
      <c r="G51" s="102"/>
      <c r="H51" s="102"/>
      <c r="I51" s="102"/>
      <c r="J51" s="102"/>
      <c r="L51" s="103"/>
      <c r="M51" s="103"/>
      <c r="N51" s="103"/>
      <c r="P51" s="102"/>
      <c r="R51" s="102"/>
    </row>
    <row r="52" spans="1:33" ht="20.25" customHeight="1" x14ac:dyDescent="0.25">
      <c r="B52" s="50"/>
      <c r="C52" s="50"/>
      <c r="E52" s="102"/>
      <c r="F52" s="102"/>
      <c r="G52" s="102"/>
      <c r="H52" s="102"/>
      <c r="I52" s="102"/>
      <c r="J52" s="102"/>
      <c r="L52" s="103"/>
      <c r="M52" s="103"/>
      <c r="N52" s="103"/>
      <c r="P52" s="102"/>
      <c r="R52" s="102"/>
    </row>
    <row r="53" spans="1:33" ht="20.25" customHeight="1" x14ac:dyDescent="0.25">
      <c r="B53" s="104"/>
      <c r="C53" s="104"/>
      <c r="D53" s="104"/>
      <c r="E53" s="104"/>
      <c r="F53" s="104"/>
      <c r="G53" s="104"/>
      <c r="H53" s="104"/>
      <c r="I53" s="104"/>
      <c r="J53" s="104"/>
      <c r="K53" s="104"/>
    </row>
    <row r="54" spans="1:33" ht="27.75" customHeight="1" x14ac:dyDescent="0.25">
      <c r="A54" s="514" t="s">
        <v>144</v>
      </c>
      <c r="B54" s="999" t="s">
        <v>145</v>
      </c>
      <c r="C54" s="999"/>
      <c r="D54" s="999"/>
      <c r="E54" s="999"/>
      <c r="F54" s="999"/>
      <c r="G54" s="999"/>
      <c r="H54" s="999"/>
      <c r="O54" s="105"/>
      <c r="P54" s="105"/>
      <c r="Q54" s="105"/>
      <c r="R54" s="105"/>
      <c r="S54" s="105"/>
      <c r="T54" s="105"/>
    </row>
    <row r="55" spans="1:33" ht="20.25" customHeight="1" x14ac:dyDescent="0.25">
      <c r="A55" s="50"/>
      <c r="B55" s="50"/>
      <c r="C55" s="50"/>
      <c r="E55" s="50"/>
      <c r="F55" s="50"/>
      <c r="G55" s="50"/>
      <c r="H55" s="104"/>
      <c r="K55" s="106"/>
    </row>
    <row r="56" spans="1:33" s="107" customFormat="1" ht="48.75" customHeight="1" x14ac:dyDescent="0.2">
      <c r="A56" s="63" t="s">
        <v>287</v>
      </c>
      <c r="B56" s="63" t="s">
        <v>146</v>
      </c>
      <c r="C56" s="63" t="s">
        <v>650</v>
      </c>
      <c r="D56" s="63" t="s">
        <v>95</v>
      </c>
      <c r="E56" s="63" t="s">
        <v>649</v>
      </c>
      <c r="F56" s="63" t="s">
        <v>147</v>
      </c>
      <c r="G56" s="63" t="s">
        <v>379</v>
      </c>
      <c r="H56" s="109"/>
      <c r="I56" s="109"/>
      <c r="J56" s="109"/>
      <c r="N56" s="109"/>
      <c r="O56" s="109"/>
      <c r="P56" s="109"/>
      <c r="Q56" s="109"/>
      <c r="R56" s="109"/>
      <c r="S56" s="109"/>
      <c r="T56" s="109"/>
    </row>
    <row r="57" spans="1:33" s="107" customFormat="1" ht="33" customHeight="1" x14ac:dyDescent="0.2">
      <c r="A57" s="367"/>
      <c r="B57" s="369">
        <f>'BP FORMAT JUILLET 2023'!J21+'BP FORMAT JUILLET 2023'!J22+'BP FORMAT JUILLET 2023'!J20+'BP FORMAT JUILLET 2023'!J18+'BP FORMAT JUILLET 2023'!J19</f>
        <v>257.10000000000002</v>
      </c>
      <c r="C57" s="139">
        <f>A57+B57</f>
        <v>257.10000000000002</v>
      </c>
      <c r="D57" s="140">
        <f>ROUND(IF(F49/E41&gt;0.1131,0.1131,F49/E41),4)</f>
        <v>0.11310000000000001</v>
      </c>
      <c r="E57" s="368">
        <f>IF(A57&gt;8037,0,IF(C57&gt;8037,8037-A57,B57))</f>
        <v>257.10000000000002</v>
      </c>
      <c r="F57" s="368">
        <f>ROUND(E57*D57,2)</f>
        <v>29.08</v>
      </c>
      <c r="G57" s="368">
        <f>IF(C57&gt;8037,B57-E57,0)</f>
        <v>0</v>
      </c>
      <c r="H57" s="109"/>
      <c r="I57" s="152"/>
      <c r="J57" s="152"/>
      <c r="N57" s="109"/>
      <c r="O57" s="109"/>
      <c r="P57" s="109"/>
      <c r="Q57" s="109"/>
      <c r="R57" s="109"/>
      <c r="S57" s="109"/>
      <c r="T57" s="109"/>
    </row>
    <row r="58" spans="1:33" ht="22.5" hidden="1" customHeight="1" x14ac:dyDescent="0.25">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25">
      <c r="A59" s="108" t="s">
        <v>148</v>
      </c>
      <c r="B59" s="98">
        <v>0</v>
      </c>
      <c r="C59" s="108">
        <f>B59+B57</f>
        <v>257.10000000000002</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25">
      <c r="A60" s="108" t="s">
        <v>149</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25">
      <c r="A61" s="108" t="s">
        <v>150</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25">
      <c r="A62" s="108" t="s">
        <v>151</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25">
      <c r="A63" s="108" t="s">
        <v>140</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25">
      <c r="A64" s="108" t="s">
        <v>152</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25">
      <c r="A65" s="108" t="s">
        <v>153</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25">
      <c r="A66" s="108" t="s">
        <v>154</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25">
      <c r="A67" s="108" t="s">
        <v>155</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25">
      <c r="A68" s="108" t="s">
        <v>156</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25">
      <c r="A69" s="108" t="s">
        <v>157</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25">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25">
      <c r="A71" s="44"/>
      <c r="B71" s="2"/>
      <c r="C71" s="2"/>
      <c r="D71" s="55" t="e">
        <f>+IF(AE53/E16&gt;0.1131,0.1131,AE53/E16)</f>
        <v>#DIV/0!</v>
      </c>
      <c r="M71" s="123">
        <f t="shared" si="24"/>
        <v>0</v>
      </c>
      <c r="Q71" s="124"/>
      <c r="R71" s="122">
        <f t="shared" si="25"/>
        <v>0</v>
      </c>
    </row>
    <row r="72" spans="1:20" ht="22.5" hidden="1" customHeight="1" x14ac:dyDescent="0.25">
      <c r="A72" s="104"/>
      <c r="B72" s="2"/>
      <c r="C72" s="2"/>
      <c r="D72" s="55" t="e">
        <f>+IF(AE54/E17&gt;0.1131,0.1131,AE54/E17)</f>
        <v>#DIV/0!</v>
      </c>
      <c r="M72" s="123">
        <f t="shared" si="24"/>
        <v>0</v>
      </c>
      <c r="Q72" s="125"/>
      <c r="R72" s="122">
        <f t="shared" si="25"/>
        <v>0</v>
      </c>
    </row>
    <row r="73" spans="1:20" ht="22.5" hidden="1" customHeight="1" x14ac:dyDescent="0.25">
      <c r="A73" s="104"/>
      <c r="B73" s="2"/>
      <c r="C73" s="2"/>
      <c r="D73" s="55" t="e">
        <f>+IF(AE55/E18&gt;0.1131,0.1131,AE55/E18)</f>
        <v>#DIV/0!</v>
      </c>
      <c r="M73" s="123">
        <f t="shared" si="24"/>
        <v>0</v>
      </c>
      <c r="Q73" s="125"/>
      <c r="R73" s="122">
        <f t="shared" si="25"/>
        <v>0</v>
      </c>
    </row>
    <row r="74" spans="1:20" ht="22.5" hidden="1" customHeight="1" x14ac:dyDescent="0.25">
      <c r="A74" s="104"/>
      <c r="B74" s="2"/>
      <c r="C74" s="2"/>
      <c r="D74" s="55" t="e">
        <f>+IF(AE56/E19&gt;0.1131,0.1131,AE56/E19)</f>
        <v>#DIV/0!</v>
      </c>
      <c r="M74" s="123">
        <f t="shared" si="24"/>
        <v>0</v>
      </c>
      <c r="Q74" s="125"/>
      <c r="R74" s="122">
        <f t="shared" si="25"/>
        <v>0</v>
      </c>
    </row>
    <row r="75" spans="1:20" ht="22.5" hidden="1" customHeight="1" x14ac:dyDescent="0.25">
      <c r="A75" s="104"/>
      <c r="B75" s="2"/>
      <c r="C75" s="2"/>
      <c r="D75" s="55" t="e">
        <f t="shared" ref="D75:D80" si="26">+IF(AE58/E21&gt;0.1131,0.1131,AE58/E21)</f>
        <v>#DIV/0!</v>
      </c>
      <c r="M75" s="123">
        <f t="shared" si="24"/>
        <v>0</v>
      </c>
      <c r="Q75" s="125"/>
      <c r="R75" s="122">
        <f t="shared" si="25"/>
        <v>0</v>
      </c>
    </row>
    <row r="76" spans="1:20" ht="22.5" hidden="1" customHeight="1" x14ac:dyDescent="0.25">
      <c r="A76" s="104"/>
      <c r="B76" s="2"/>
      <c r="C76" s="2"/>
      <c r="D76" s="55" t="e">
        <f t="shared" si="26"/>
        <v>#VALUE!</v>
      </c>
      <c r="M76" s="123">
        <f t="shared" si="24"/>
        <v>0</v>
      </c>
      <c r="Q76" s="125"/>
      <c r="R76" s="122">
        <f t="shared" si="25"/>
        <v>0</v>
      </c>
    </row>
    <row r="77" spans="1:20" ht="22.5" hidden="1" customHeight="1" x14ac:dyDescent="0.25">
      <c r="A77" s="104"/>
      <c r="B77" s="2"/>
      <c r="C77" s="2"/>
      <c r="D77" s="55" t="e">
        <f t="shared" si="26"/>
        <v>#VALUE!</v>
      </c>
      <c r="M77" s="123">
        <f t="shared" si="24"/>
        <v>0</v>
      </c>
      <c r="Q77" s="125"/>
      <c r="R77" s="122">
        <f t="shared" si="25"/>
        <v>0</v>
      </c>
    </row>
    <row r="78" spans="1:20" ht="22.5" hidden="1" customHeight="1" x14ac:dyDescent="0.25">
      <c r="A78" s="104"/>
      <c r="B78" s="2"/>
      <c r="C78" s="2"/>
      <c r="D78" s="55">
        <f t="shared" si="26"/>
        <v>0</v>
      </c>
      <c r="M78" s="123">
        <f t="shared" si="24"/>
        <v>0</v>
      </c>
      <c r="Q78" s="125"/>
      <c r="R78" s="122">
        <f t="shared" si="25"/>
        <v>0</v>
      </c>
    </row>
    <row r="79" spans="1:20" ht="22.5" hidden="1" customHeight="1" x14ac:dyDescent="0.25">
      <c r="A79" s="104"/>
      <c r="B79" s="2"/>
      <c r="C79" s="2"/>
      <c r="D79" s="55">
        <f t="shared" si="26"/>
        <v>0</v>
      </c>
      <c r="M79" s="123">
        <f t="shared" si="24"/>
        <v>0</v>
      </c>
      <c r="Q79" s="125"/>
      <c r="R79" s="122">
        <f t="shared" si="25"/>
        <v>0</v>
      </c>
    </row>
    <row r="80" spans="1:20" ht="22.5" hidden="1" customHeight="1" x14ac:dyDescent="0.25">
      <c r="A80" s="104"/>
      <c r="D80" s="55" t="e">
        <f t="shared" si="26"/>
        <v>#DIV/0!</v>
      </c>
      <c r="M80" s="123">
        <f t="shared" si="24"/>
        <v>0</v>
      </c>
      <c r="R80" s="122">
        <f t="shared" si="25"/>
        <v>0</v>
      </c>
    </row>
    <row r="81" spans="1:21" ht="20.25" customHeight="1" x14ac:dyDescent="0.25">
      <c r="A81" s="104"/>
      <c r="M81" s="126"/>
      <c r="R81" s="127"/>
    </row>
    <row r="82" spans="1:21" ht="20.25" customHeight="1" x14ac:dyDescent="0.25">
      <c r="A82" s="104"/>
      <c r="E82" s="152"/>
      <c r="G82" s="152"/>
      <c r="M82" s="126"/>
      <c r="R82" s="127"/>
    </row>
    <row r="83" spans="1:21" ht="20.25" customHeight="1" x14ac:dyDescent="0.25">
      <c r="A83" s="104"/>
      <c r="E83" s="147"/>
    </row>
    <row r="84" spans="1:21" ht="27" customHeight="1" x14ac:dyDescent="0.25">
      <c r="A84" s="1000" t="s">
        <v>651</v>
      </c>
      <c r="B84" s="1000"/>
      <c r="C84" s="1000"/>
      <c r="D84" s="1000"/>
      <c r="E84" s="1000"/>
      <c r="F84" s="515"/>
      <c r="G84" s="105"/>
      <c r="H84" s="105"/>
      <c r="I84" s="105"/>
      <c r="J84" s="105"/>
      <c r="K84" s="105"/>
      <c r="L84" s="141" t="s">
        <v>149</v>
      </c>
      <c r="M84" s="128" t="s">
        <v>150</v>
      </c>
      <c r="N84" s="128" t="s">
        <v>139</v>
      </c>
      <c r="O84" s="128" t="s">
        <v>140</v>
      </c>
      <c r="P84" s="128" t="s">
        <v>141</v>
      </c>
      <c r="Q84" s="128" t="s">
        <v>153</v>
      </c>
      <c r="R84" s="128" t="s">
        <v>154</v>
      </c>
      <c r="S84" s="128" t="s">
        <v>155</v>
      </c>
      <c r="T84" s="128" t="s">
        <v>156</v>
      </c>
      <c r="U84" s="128" t="s">
        <v>157</v>
      </c>
    </row>
    <row r="85" spans="1:21" ht="20.25" customHeight="1" x14ac:dyDescent="0.25">
      <c r="A85" s="988" t="s">
        <v>158</v>
      </c>
      <c r="B85" s="988"/>
      <c r="C85" s="988"/>
      <c r="D85" s="988"/>
      <c r="E85" s="368">
        <f>'BP FORMAT JUILLET 2023'!J33-'BP FORMAT JUILLET 2023'!J22-'BP FORMAT JUILLET 2023'!J21-'BP FORMAT JUILLET 2023'!J20-'BP FORMAT JUILLET 2023'!J19-'BP FORMAT JUILLET 2023'!J18-'BP FORMAT JUILLET 2023'!J14-'BP FORMAT JUILLET 2023'!J17</f>
        <v>2318.181818181818</v>
      </c>
      <c r="F85" s="516"/>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25">
      <c r="A86" s="988" t="s">
        <v>365</v>
      </c>
      <c r="B86" s="988"/>
      <c r="C86" s="988"/>
      <c r="D86" s="988"/>
      <c r="E86" s="368">
        <f>G57</f>
        <v>0</v>
      </c>
      <c r="F86" s="516"/>
      <c r="G86" s="143"/>
      <c r="H86" s="143"/>
      <c r="I86" s="143"/>
      <c r="J86" s="143"/>
      <c r="K86" s="143"/>
      <c r="L86" s="142"/>
      <c r="M86" s="129"/>
      <c r="N86" s="129"/>
      <c r="O86" s="117"/>
      <c r="P86" s="117"/>
      <c r="Q86" s="117"/>
      <c r="R86" s="117"/>
      <c r="S86" s="117"/>
      <c r="T86" s="117"/>
      <c r="U86" s="117"/>
    </row>
    <row r="87" spans="1:21" ht="20.25" customHeight="1" x14ac:dyDescent="0.25">
      <c r="A87" s="989" t="s">
        <v>366</v>
      </c>
      <c r="B87" s="989"/>
      <c r="C87" s="989"/>
      <c r="D87" s="989"/>
      <c r="E87" s="368">
        <f>E85+E86</f>
        <v>2318.181818181818</v>
      </c>
      <c r="F87" s="516"/>
      <c r="G87" s="143"/>
      <c r="H87" s="143"/>
      <c r="I87" s="143"/>
      <c r="J87" s="143"/>
      <c r="K87" s="143"/>
      <c r="L87" s="142"/>
      <c r="M87" s="129"/>
      <c r="N87" s="129"/>
      <c r="O87" s="117"/>
      <c r="P87" s="117"/>
      <c r="Q87" s="117"/>
      <c r="R87" s="117"/>
      <c r="S87" s="117"/>
      <c r="T87" s="117"/>
      <c r="U87" s="117"/>
    </row>
    <row r="88" spans="1:21" ht="20.25" customHeight="1" x14ac:dyDescent="0.25">
      <c r="A88" s="988" t="s">
        <v>19</v>
      </c>
      <c r="B88" s="988"/>
      <c r="C88" s="988"/>
      <c r="D88" s="988"/>
      <c r="E88" s="368">
        <f>'BP FORMAT JUILLET 2023'!J17</f>
        <v>119.55000000000001</v>
      </c>
      <c r="F88" s="516"/>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25">
      <c r="A89" s="988" t="s">
        <v>380</v>
      </c>
      <c r="B89" s="988"/>
      <c r="C89" s="988"/>
      <c r="D89" s="988"/>
      <c r="E89" s="368">
        <f>+'BP FORMAT JUILLET 2023'!J14</f>
        <v>0</v>
      </c>
      <c r="F89" s="516"/>
      <c r="G89" s="143"/>
      <c r="H89" s="143"/>
      <c r="I89" s="143"/>
      <c r="J89" s="143"/>
      <c r="K89" s="143"/>
      <c r="L89" s="142"/>
      <c r="M89" s="129"/>
      <c r="N89" s="129"/>
      <c r="O89" s="117"/>
      <c r="P89" s="117"/>
      <c r="Q89" s="117"/>
      <c r="R89" s="117"/>
      <c r="S89" s="117"/>
      <c r="T89" s="117"/>
      <c r="U89" s="117"/>
    </row>
    <row r="90" spans="1:21" ht="20.25" customHeight="1" x14ac:dyDescent="0.25">
      <c r="A90" s="988" t="s">
        <v>286</v>
      </c>
      <c r="B90" s="988"/>
      <c r="C90" s="988"/>
      <c r="D90" s="988"/>
      <c r="E90" s="368">
        <f>E88+E89</f>
        <v>119.55000000000001</v>
      </c>
      <c r="F90" s="516"/>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25">
      <c r="A91" s="988" t="s">
        <v>159</v>
      </c>
      <c r="B91" s="988"/>
      <c r="C91" s="988"/>
      <c r="D91" s="988"/>
      <c r="E91" s="368">
        <f>E57</f>
        <v>257.10000000000002</v>
      </c>
      <c r="F91" s="516"/>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25">
      <c r="A92" s="988" t="s">
        <v>382</v>
      </c>
      <c r="B92" s="988"/>
      <c r="C92" s="988"/>
      <c r="D92" s="988"/>
      <c r="E92" s="368">
        <f>'BP FORMAT JUILLET 2023'!F65</f>
        <v>170.2</v>
      </c>
      <c r="F92" s="516"/>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25">
      <c r="A93" s="988" t="s">
        <v>160</v>
      </c>
      <c r="B93" s="988"/>
      <c r="C93" s="988"/>
      <c r="D93" s="988"/>
      <c r="E93" s="368">
        <f>'BP FORMAT JUILLET 2023'!F66</f>
        <v>72.58</v>
      </c>
      <c r="F93" s="516"/>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25">
      <c r="A94" s="988" t="s">
        <v>161</v>
      </c>
      <c r="B94" s="988"/>
      <c r="C94" s="988"/>
      <c r="D94" s="988"/>
      <c r="E94" s="368">
        <f>'BP FORMAT JUILLET 2023'!F67</f>
        <v>17.18</v>
      </c>
      <c r="F94" s="516"/>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25">
      <c r="A95" s="988" t="s">
        <v>162</v>
      </c>
      <c r="B95" s="988"/>
      <c r="C95" s="988"/>
      <c r="D95" s="988"/>
      <c r="E95" s="368">
        <f>'BP FORMAT JUILLET 2023'!F68</f>
        <v>0</v>
      </c>
      <c r="F95" s="516"/>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25">
      <c r="A96" s="988" t="s">
        <v>163</v>
      </c>
      <c r="B96" s="988"/>
      <c r="C96" s="988"/>
      <c r="D96" s="988"/>
      <c r="E96" s="368">
        <f>'BP FORMAT JUILLET 2023'!F69</f>
        <v>7.33</v>
      </c>
      <c r="F96" s="516"/>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25">
      <c r="A97" s="988" t="s">
        <v>164</v>
      </c>
      <c r="B97" s="988"/>
      <c r="C97" s="988"/>
      <c r="D97" s="988"/>
      <c r="E97" s="368">
        <f>'BP FORMAT JUILLET 2023'!F72+'BP FORMAT JUILLET 2023'!F75+'BP FORMAT JUILLET 2023'!F77+'BP FORMAT JUILLET 2023'!F74+'BP FORMAT JUILLET 2023'!F44</f>
        <v>597.54</v>
      </c>
      <c r="F97" s="516"/>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25">
      <c r="A98" s="988" t="s">
        <v>165</v>
      </c>
      <c r="B98" s="988"/>
      <c r="C98" s="988"/>
      <c r="D98" s="988"/>
      <c r="E98" s="368">
        <f>'BP FORMAT JUILLET 2023'!G40+'BP FORMAT JUILLET 2023'!G43</f>
        <v>53.9</v>
      </c>
      <c r="F98" s="516"/>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25">
      <c r="A99" s="988" t="s">
        <v>376</v>
      </c>
      <c r="B99" s="988"/>
      <c r="C99" s="988"/>
      <c r="D99" s="988"/>
      <c r="E99" s="517">
        <f>'BP FORMAT JUILLET 2023'!G75+'BP FORMAT JUILLET 2023'!G77+'BP FORMAT JUILLET 2023'!G44+'BP FORMAT JUILLET 2023'!G74</f>
        <v>53.9</v>
      </c>
      <c r="F99" s="516"/>
      <c r="G99" s="50"/>
      <c r="H99" s="50"/>
      <c r="I99" s="50"/>
      <c r="J99" s="50"/>
      <c r="K99" s="50"/>
      <c r="L99" s="50"/>
    </row>
    <row r="100" spans="1:21" ht="24" customHeight="1" x14ac:dyDescent="0.25">
      <c r="A100" s="988" t="s">
        <v>217</v>
      </c>
      <c r="B100" s="988"/>
      <c r="C100" s="988"/>
      <c r="D100" s="988"/>
      <c r="E100" s="518">
        <f>E85+E86+E88+E93+E94+E96-E97+E98+E104</f>
        <v>1991.181818181818</v>
      </c>
      <c r="F100" s="50"/>
      <c r="G100" s="50"/>
      <c r="H100" s="50"/>
      <c r="I100" s="50"/>
      <c r="J100" s="50"/>
      <c r="K100" s="50"/>
      <c r="L100" s="50"/>
    </row>
    <row r="101" spans="1:21" ht="20.25" customHeight="1" x14ac:dyDescent="0.25">
      <c r="C101" s="50"/>
      <c r="E101" s="50"/>
      <c r="F101" s="50"/>
      <c r="G101" s="50"/>
      <c r="H101" s="50"/>
      <c r="I101" s="50"/>
      <c r="J101" s="50"/>
      <c r="K101" s="50"/>
      <c r="L101" s="50"/>
    </row>
    <row r="102" spans="1:21" ht="20.25" customHeight="1" x14ac:dyDescent="0.25">
      <c r="C102" s="50"/>
      <c r="E102" s="50"/>
      <c r="F102" s="50"/>
      <c r="G102" s="50"/>
      <c r="H102" s="50"/>
      <c r="I102" s="50"/>
      <c r="J102" s="50"/>
      <c r="K102" s="50"/>
      <c r="L102" s="50"/>
    </row>
    <row r="103" spans="1:21" ht="20.25" customHeight="1" x14ac:dyDescent="0.25">
      <c r="A103" s="713"/>
      <c r="B103" s="713"/>
      <c r="C103" s="713"/>
      <c r="D103" s="713"/>
      <c r="E103" s="519"/>
      <c r="F103" s="519"/>
      <c r="G103" s="519"/>
      <c r="H103" s="519"/>
      <c r="I103" s="519"/>
      <c r="J103" s="519"/>
      <c r="K103" s="519"/>
      <c r="L103" s="520"/>
      <c r="M103" s="130"/>
      <c r="N103" s="130"/>
      <c r="O103" s="130"/>
      <c r="P103" s="130"/>
      <c r="Q103" s="130"/>
      <c r="R103" s="130"/>
      <c r="S103" s="130"/>
      <c r="T103" s="130"/>
      <c r="U103" s="130"/>
    </row>
    <row r="104" spans="1:21" ht="20.25" customHeight="1" x14ac:dyDescent="0.25">
      <c r="A104" s="944" t="s">
        <v>188</v>
      </c>
      <c r="B104" s="944"/>
      <c r="C104" s="944"/>
      <c r="D104" s="944"/>
      <c r="E104" s="150"/>
      <c r="F104" s="519"/>
      <c r="G104" s="519"/>
      <c r="H104" s="519"/>
      <c r="I104" s="519"/>
      <c r="J104" s="519"/>
      <c r="K104" s="519"/>
      <c r="L104" s="520"/>
      <c r="M104" s="130"/>
      <c r="N104" s="130"/>
      <c r="O104" s="130"/>
      <c r="P104" s="130"/>
      <c r="Q104" s="130"/>
      <c r="R104" s="130"/>
      <c r="S104" s="130"/>
      <c r="T104" s="130"/>
      <c r="U104" s="130"/>
    </row>
    <row r="105" spans="1:21" ht="20.25" customHeight="1" x14ac:dyDescent="0.25">
      <c r="A105" s="713"/>
      <c r="B105" s="713"/>
      <c r="C105" s="713"/>
      <c r="D105" s="713"/>
      <c r="E105" s="519"/>
      <c r="F105" s="519"/>
      <c r="G105" s="519"/>
      <c r="H105" s="519"/>
      <c r="I105" s="519"/>
      <c r="J105" s="519"/>
      <c r="K105" s="519">
        <f t="shared" ref="K105:U105" si="28">K85-K97+K98+K93+K96+K94+K88+K103</f>
        <v>0</v>
      </c>
      <c r="L105" s="521"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25">
      <c r="E107" s="149" t="s">
        <v>193</v>
      </c>
      <c r="F107" s="149"/>
      <c r="G107" s="147"/>
      <c r="H107" s="147"/>
      <c r="I107" s="147"/>
      <c r="J107" s="147"/>
      <c r="K107" s="147"/>
      <c r="L107" s="144" t="s">
        <v>149</v>
      </c>
      <c r="M107" s="132" t="s">
        <v>150</v>
      </c>
      <c r="N107" s="132" t="s">
        <v>139</v>
      </c>
      <c r="O107" s="132" t="s">
        <v>140</v>
      </c>
      <c r="P107" s="132" t="s">
        <v>152</v>
      </c>
      <c r="Q107" s="132" t="s">
        <v>153</v>
      </c>
      <c r="R107" s="132" t="s">
        <v>154</v>
      </c>
      <c r="S107" s="132" t="s">
        <v>155</v>
      </c>
      <c r="T107" s="132" t="s">
        <v>156</v>
      </c>
      <c r="U107" s="132" t="s">
        <v>157</v>
      </c>
    </row>
    <row r="108" spans="1:21" ht="20.25" customHeight="1" x14ac:dyDescent="0.25">
      <c r="A108" s="944" t="s">
        <v>166</v>
      </c>
      <c r="B108" s="944"/>
      <c r="C108" s="944"/>
      <c r="D108" s="944"/>
      <c r="E108" s="133">
        <f>C57</f>
        <v>257.10000000000002</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25">
      <c r="A109" s="944" t="s">
        <v>167</v>
      </c>
      <c r="B109" s="944"/>
      <c r="C109" s="944"/>
      <c r="D109" s="944"/>
      <c r="E109" s="133">
        <f>E108</f>
        <v>257.10000000000002</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25">
      <c r="A110" s="944" t="s">
        <v>214</v>
      </c>
      <c r="B110" s="944"/>
      <c r="C110" s="944"/>
      <c r="D110" s="944"/>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25">
      <c r="A111" s="944" t="s">
        <v>215</v>
      </c>
      <c r="B111" s="944"/>
      <c r="C111" s="944"/>
      <c r="D111" s="944"/>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25">
      <c r="E113" s="136" t="s">
        <v>137</v>
      </c>
      <c r="F113" s="136"/>
      <c r="G113" s="136"/>
      <c r="H113" s="136"/>
      <c r="I113" s="136"/>
      <c r="J113" s="136"/>
      <c r="K113" s="136" t="s">
        <v>138</v>
      </c>
      <c r="L113" s="136" t="s">
        <v>149</v>
      </c>
      <c r="M113" s="136" t="s">
        <v>150</v>
      </c>
      <c r="N113" s="136" t="s">
        <v>139</v>
      </c>
      <c r="O113" s="136" t="s">
        <v>140</v>
      </c>
      <c r="P113" s="136" t="s">
        <v>152</v>
      </c>
      <c r="Q113" s="136" t="s">
        <v>153</v>
      </c>
      <c r="R113" s="136" t="s">
        <v>154</v>
      </c>
      <c r="S113" s="136" t="s">
        <v>155</v>
      </c>
      <c r="T113" s="136" t="s">
        <v>156</v>
      </c>
      <c r="U113" s="136" t="s">
        <v>157</v>
      </c>
    </row>
    <row r="114" spans="1:21" ht="0.75" hidden="1" customHeight="1" x14ac:dyDescent="0.25">
      <c r="A114" s="990" t="s">
        <v>168</v>
      </c>
      <c r="B114" s="990"/>
      <c r="C114" s="990"/>
      <c r="D114" s="990"/>
      <c r="E114" s="131">
        <f t="shared" ref="E114:U114" si="32">E85+E88</f>
        <v>2437.7318181818182</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25">
      <c r="A115" s="990" t="s">
        <v>169</v>
      </c>
      <c r="B115" s="990"/>
      <c r="C115" s="990"/>
      <c r="D115" s="990"/>
      <c r="E115" s="131">
        <f>E91</f>
        <v>257.10000000000002</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25">
      <c r="A116" s="990" t="s">
        <v>170</v>
      </c>
      <c r="B116" s="990"/>
      <c r="C116" s="990"/>
      <c r="D116" s="990"/>
      <c r="E116" s="131">
        <f>E114+E115</f>
        <v>2694.8318181818181</v>
      </c>
      <c r="F116" s="131"/>
      <c r="G116" s="131"/>
      <c r="H116" s="131"/>
      <c r="I116" s="131"/>
      <c r="J116" s="131"/>
      <c r="K116" s="131">
        <f>K115+K114+E116</f>
        <v>2694.8318181818181</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25">
      <c r="A117" s="990" t="s">
        <v>171</v>
      </c>
      <c r="B117" s="990"/>
      <c r="C117" s="990"/>
      <c r="D117" s="990"/>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25">
      <c r="A118" s="990" t="s">
        <v>172</v>
      </c>
      <c r="B118" s="990"/>
      <c r="C118" s="990"/>
      <c r="D118" s="990"/>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25">
      <c r="A119" s="1001" t="s">
        <v>173</v>
      </c>
      <c r="B119" s="1002"/>
      <c r="C119" s="1002"/>
      <c r="D119" s="1003"/>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25">
      <c r="A120" s="990" t="s">
        <v>174</v>
      </c>
      <c r="B120" s="990"/>
      <c r="C120" s="990"/>
      <c r="D120" s="990"/>
      <c r="E120" s="97">
        <f t="shared" ref="E120:U120" si="36">IF(E114&lt;=E118,E114*0.9825+E119,E118*0.9825+E114-E118+E119)</f>
        <v>2640.6115113636365</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25">
      <c r="A121" s="990" t="s">
        <v>175</v>
      </c>
      <c r="B121" s="990"/>
      <c r="C121" s="990"/>
      <c r="D121" s="990"/>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522">
        <v>13000</v>
      </c>
      <c r="D124" s="55">
        <v>1000</v>
      </c>
    </row>
    <row r="125" spans="1:21" x14ac:dyDescent="0.25">
      <c r="B125" s="4" t="s">
        <v>378</v>
      </c>
      <c r="C125" s="451">
        <f>'BP FORMAT JUILLET 2023'!C33</f>
        <v>3100.65</v>
      </c>
    </row>
    <row r="126" spans="1:21" x14ac:dyDescent="0.25">
      <c r="I126" s="10"/>
    </row>
    <row r="127" spans="1:21" ht="25.9" customHeight="1" x14ac:dyDescent="0.25">
      <c r="A127" s="999" t="s">
        <v>730</v>
      </c>
      <c r="B127" s="999"/>
      <c r="C127" s="999"/>
      <c r="D127" s="999"/>
      <c r="E127" s="999"/>
      <c r="F127" s="999"/>
    </row>
    <row r="129" spans="1:11" s="56" customFormat="1" x14ac:dyDescent="0.25">
      <c r="A129">
        <v>3</v>
      </c>
      <c r="B129" s="940" t="s">
        <v>180</v>
      </c>
      <c r="C129" s="942"/>
      <c r="D129" s="427">
        <f>4*C125</f>
        <v>12402.6</v>
      </c>
      <c r="F129" s="60"/>
      <c r="G129" s="60"/>
      <c r="H129" s="425"/>
    </row>
    <row r="130" spans="1:11" s="56" customFormat="1" x14ac:dyDescent="0.25">
      <c r="A130">
        <v>4</v>
      </c>
      <c r="B130" s="932" t="s">
        <v>178</v>
      </c>
      <c r="C130" s="934"/>
      <c r="D130" s="427">
        <f>E85+E90</f>
        <v>2437.7318181818182</v>
      </c>
      <c r="E130" s="422"/>
      <c r="F130" s="423"/>
      <c r="G130" s="60"/>
      <c r="K130" s="158"/>
    </row>
    <row r="131" spans="1:11" s="56" customFormat="1" x14ac:dyDescent="0.25">
      <c r="A131">
        <v>5</v>
      </c>
      <c r="B131" s="932" t="s">
        <v>179</v>
      </c>
      <c r="C131" s="934"/>
      <c r="D131" s="427">
        <f>E57</f>
        <v>257.10000000000002</v>
      </c>
      <c r="E131" s="422"/>
      <c r="F131" s="423"/>
      <c r="G131" s="425"/>
      <c r="H131" s="60"/>
      <c r="K131" s="158"/>
    </row>
    <row r="132" spans="1:11" s="56" customFormat="1" x14ac:dyDescent="0.25">
      <c r="A132">
        <v>6</v>
      </c>
      <c r="B132" s="932" t="s">
        <v>381</v>
      </c>
      <c r="C132" s="934"/>
      <c r="D132" s="428">
        <f>G57</f>
        <v>0</v>
      </c>
      <c r="E132" s="422"/>
      <c r="F132" s="423"/>
      <c r="G132" s="60"/>
      <c r="H132" s="426"/>
      <c r="K132" s="158"/>
    </row>
    <row r="133" spans="1:11" s="56" customFormat="1" x14ac:dyDescent="0.25">
      <c r="A133">
        <v>7</v>
      </c>
      <c r="B133" s="932" t="s">
        <v>177</v>
      </c>
      <c r="C133" s="934"/>
      <c r="D133" s="427">
        <f>D130+D131+D132</f>
        <v>2694.8318181818181</v>
      </c>
      <c r="E133" s="424"/>
      <c r="F133" s="423"/>
      <c r="H133" s="426"/>
    </row>
    <row r="134" spans="1:11" s="56" customFormat="1" x14ac:dyDescent="0.25">
      <c r="A134">
        <v>8</v>
      </c>
      <c r="B134" s="932" t="s">
        <v>181</v>
      </c>
      <c r="C134" s="934"/>
      <c r="D134" s="427">
        <f>E98+E99</f>
        <v>107.8</v>
      </c>
      <c r="H134" s="159"/>
      <c r="I134" s="159"/>
    </row>
    <row r="135" spans="1:11" s="56" customFormat="1" x14ac:dyDescent="0.25">
      <c r="A135">
        <v>9</v>
      </c>
      <c r="F135" s="292" t="s">
        <v>59</v>
      </c>
      <c r="H135" s="159"/>
      <c r="I135" s="159"/>
      <c r="K135" s="60"/>
    </row>
    <row r="136" spans="1:11" s="56" customFormat="1" x14ac:dyDescent="0.25">
      <c r="A136">
        <v>10</v>
      </c>
      <c r="B136" s="985" t="s">
        <v>187</v>
      </c>
      <c r="C136" s="986"/>
      <c r="D136" s="987"/>
      <c r="E136" s="57">
        <v>6.8000000000000005E-2</v>
      </c>
      <c r="F136" s="161">
        <f>IF(D133&lt;D129,D130*0.9825+D134,IF(D130&gt;D129,D129*0.9825+D130-D129+D134, D130*0.9825+D134))</f>
        <v>2502.8715113636367</v>
      </c>
      <c r="H136" s="10"/>
      <c r="I136" s="160"/>
    </row>
    <row r="137" spans="1:11" s="56" customFormat="1" x14ac:dyDescent="0.25">
      <c r="A137">
        <v>11</v>
      </c>
      <c r="B137" s="985" t="s">
        <v>182</v>
      </c>
      <c r="C137" s="986"/>
      <c r="D137" s="987"/>
      <c r="E137" s="57">
        <v>6.8000000000000005E-2</v>
      </c>
      <c r="F137" s="161">
        <f>H175</f>
        <v>252.60075000000003</v>
      </c>
      <c r="H137" s="160"/>
      <c r="I137" s="160"/>
      <c r="J137" s="60"/>
    </row>
    <row r="138" spans="1:11" s="56" customFormat="1" x14ac:dyDescent="0.25">
      <c r="A138">
        <v>12</v>
      </c>
      <c r="B138" s="985" t="s">
        <v>183</v>
      </c>
      <c r="C138" s="986"/>
      <c r="D138" s="987"/>
      <c r="E138" s="57">
        <v>6.8000000000000005E-2</v>
      </c>
      <c r="F138" s="161">
        <f>H176</f>
        <v>0</v>
      </c>
      <c r="H138" s="60"/>
    </row>
    <row r="139" spans="1:11" s="56" customFormat="1" x14ac:dyDescent="0.25">
      <c r="A139">
        <v>13</v>
      </c>
      <c r="B139" s="985" t="s">
        <v>184</v>
      </c>
      <c r="C139" s="986"/>
      <c r="D139" s="987"/>
      <c r="E139" s="57">
        <v>2.9000000000000001E-2</v>
      </c>
      <c r="F139" s="161">
        <f>F136</f>
        <v>2502.8715113636367</v>
      </c>
    </row>
    <row r="140" spans="1:11" s="56" customFormat="1" x14ac:dyDescent="0.25">
      <c r="A140">
        <v>14</v>
      </c>
      <c r="B140" s="985" t="s">
        <v>185</v>
      </c>
      <c r="C140" s="986"/>
      <c r="D140" s="987"/>
      <c r="E140" s="57">
        <v>2.9000000000000001E-2</v>
      </c>
      <c r="F140" s="161">
        <f>F137+F138</f>
        <v>252.60075000000003</v>
      </c>
    </row>
    <row r="141" spans="1:11" s="56" customFormat="1" x14ac:dyDescent="0.25">
      <c r="A141">
        <v>15</v>
      </c>
      <c r="B141" s="985" t="s">
        <v>186</v>
      </c>
      <c r="C141" s="986"/>
      <c r="D141" s="987"/>
      <c r="E141" s="177">
        <f>'HEURES SUPPLEMENTAIRES '!D57</f>
        <v>0.11310000000000001</v>
      </c>
      <c r="F141" s="161">
        <f>D131</f>
        <v>257.10000000000002</v>
      </c>
    </row>
    <row r="143" spans="1:11" x14ac:dyDescent="0.25">
      <c r="A143" t="s">
        <v>629</v>
      </c>
    </row>
    <row r="144" spans="1:11" x14ac:dyDescent="0.25">
      <c r="A144" s="491">
        <v>45778</v>
      </c>
      <c r="B144" t="s">
        <v>630</v>
      </c>
    </row>
    <row r="145" spans="1:9" x14ac:dyDescent="0.25">
      <c r="A145" s="492">
        <f>IF('MASQUE DE SAISIE '!G9&lt;20,('BP FORMAT JUILLET 2023'!G20+'BP FORMAT JUILLET 2023'!G21+'BP FORMAT JUILLET 2023'!G22)*1.5,0.5*('BP FORMAT JUILLET 2023'!G20+'BP FORMAT JUILLET 2023'!G21+'BP FORMAT JUILLET 2023'!G22))</f>
        <v>5</v>
      </c>
      <c r="B145" t="s">
        <v>631</v>
      </c>
      <c r="E145" s="984" t="s">
        <v>745</v>
      </c>
      <c r="F145" s="984"/>
      <c r="G145" s="984"/>
      <c r="H145" s="984"/>
      <c r="I145" s="984"/>
    </row>
    <row r="146" spans="1:9" s="659" customFormat="1" x14ac:dyDescent="0.25">
      <c r="A146" s="658"/>
      <c r="D146" s="660"/>
    </row>
    <row r="147" spans="1:9" s="659" customFormat="1" x14ac:dyDescent="0.25">
      <c r="A147" s="658"/>
      <c r="D147" s="660"/>
    </row>
    <row r="148" spans="1:9" s="662" customFormat="1" x14ac:dyDescent="0.25">
      <c r="A148" s="661" t="s">
        <v>729</v>
      </c>
      <c r="D148" s="663"/>
    </row>
    <row r="149" spans="1:9" s="659" customFormat="1" x14ac:dyDescent="0.25">
      <c r="A149" s="658"/>
      <c r="D149" s="660"/>
    </row>
    <row r="151" spans="1:9" s="181" customFormat="1" ht="15.75" x14ac:dyDescent="0.25">
      <c r="B151" s="181" t="s">
        <v>728</v>
      </c>
    </row>
    <row r="152" spans="1:9" s="181" customFormat="1" ht="15.75" x14ac:dyDescent="0.25"/>
    <row r="153" spans="1:9" s="181" customFormat="1" ht="15.75" x14ac:dyDescent="0.25">
      <c r="B153" s="181" t="s">
        <v>705</v>
      </c>
    </row>
    <row r="154" spans="1:9" s="181" customFormat="1" ht="15.75" x14ac:dyDescent="0.25"/>
    <row r="155" spans="1:9" s="181" customFormat="1" ht="15.75" x14ac:dyDescent="0.25">
      <c r="C155" s="181" t="s">
        <v>706</v>
      </c>
    </row>
    <row r="156" spans="1:9" s="181" customFormat="1" ht="15.75" x14ac:dyDescent="0.25">
      <c r="C156" s="181" t="s">
        <v>707</v>
      </c>
    </row>
    <row r="157" spans="1:9" s="181" customFormat="1" ht="15.75" x14ac:dyDescent="0.25">
      <c r="C157" s="181" t="s">
        <v>708</v>
      </c>
    </row>
    <row r="158" spans="1:9" s="181" customFormat="1" ht="15.75" x14ac:dyDescent="0.25"/>
    <row r="159" spans="1:9" s="181" customFormat="1" ht="15.75" x14ac:dyDescent="0.25">
      <c r="C159" s="181" t="s">
        <v>378</v>
      </c>
      <c r="D159" s="631">
        <v>3925</v>
      </c>
    </row>
    <row r="160" spans="1:9" s="181" customFormat="1" ht="15.75" x14ac:dyDescent="0.25"/>
    <row r="161" spans="1:15" s="181" customFormat="1" ht="15.75" x14ac:dyDescent="0.25"/>
    <row r="162" spans="1:15" s="181" customFormat="1" ht="15.75" x14ac:dyDescent="0.25">
      <c r="A162" s="1011" t="s">
        <v>727</v>
      </c>
      <c r="B162" s="1011"/>
      <c r="C162" s="1011"/>
      <c r="D162" s="633">
        <f>'HEURES SUPPLEMENTAIRES '!E85+'HEURES SUPPLEMENTAIRES '!E90</f>
        <v>2437.7318181818182</v>
      </c>
    </row>
    <row r="163" spans="1:15" s="181" customFormat="1" ht="15.75" x14ac:dyDescent="0.25">
      <c r="A163" s="1011" t="s">
        <v>709</v>
      </c>
      <c r="B163" s="1011"/>
      <c r="C163" s="1011"/>
      <c r="D163" s="633">
        <f>+E57</f>
        <v>257.10000000000002</v>
      </c>
      <c r="H163" s="634"/>
    </row>
    <row r="164" spans="1:15" s="181" customFormat="1" ht="15.75" x14ac:dyDescent="0.25">
      <c r="A164" s="1011" t="s">
        <v>710</v>
      </c>
      <c r="B164" s="1011"/>
      <c r="C164" s="1011"/>
      <c r="D164" s="635">
        <f>+G57</f>
        <v>0</v>
      </c>
      <c r="I164" s="636"/>
    </row>
    <row r="165" spans="1:15" s="181" customFormat="1" ht="15.75" x14ac:dyDescent="0.25">
      <c r="A165" s="1011" t="s">
        <v>711</v>
      </c>
      <c r="B165" s="1011"/>
      <c r="C165" s="1011"/>
      <c r="D165" s="633">
        <f>+'HEURES SUPPLEMENTAIRES '!E98+E99</f>
        <v>107.8</v>
      </c>
    </row>
    <row r="166" spans="1:15" s="181" customFormat="1" ht="15.75" x14ac:dyDescent="0.25"/>
    <row r="167" spans="1:15" s="181" customFormat="1" ht="15.75" x14ac:dyDescent="0.25">
      <c r="B167" s="189" t="s">
        <v>283</v>
      </c>
      <c r="C167" s="189" t="s">
        <v>247</v>
      </c>
      <c r="D167" s="189" t="s">
        <v>212</v>
      </c>
      <c r="E167" s="189" t="s">
        <v>248</v>
      </c>
      <c r="F167" s="185" t="s">
        <v>250</v>
      </c>
      <c r="H167" s="637"/>
      <c r="I167" s="638"/>
    </row>
    <row r="168" spans="1:15" s="181" customFormat="1" ht="15.75" x14ac:dyDescent="0.25">
      <c r="B168" s="183"/>
      <c r="C168" s="639">
        <v>129</v>
      </c>
      <c r="D168" s="1006" t="s">
        <v>180</v>
      </c>
      <c r="E168" s="1007"/>
      <c r="F168" s="640">
        <f>4*D159</f>
        <v>15700</v>
      </c>
      <c r="H168" s="641"/>
    </row>
    <row r="169" spans="1:15" s="181" customFormat="1" ht="15.75" x14ac:dyDescent="0.25">
      <c r="C169" s="189">
        <v>130</v>
      </c>
      <c r="D169" s="1004" t="s">
        <v>178</v>
      </c>
      <c r="E169" s="1005"/>
      <c r="F169" s="643">
        <f>+D162</f>
        <v>2437.7318181818182</v>
      </c>
      <c r="H169" s="644"/>
      <c r="I169" s="637"/>
    </row>
    <row r="170" spans="1:15" s="181" customFormat="1" ht="15.75" x14ac:dyDescent="0.25">
      <c r="C170" s="189">
        <v>131</v>
      </c>
      <c r="D170" s="1008" t="s">
        <v>712</v>
      </c>
      <c r="E170" s="1009"/>
      <c r="F170" s="643">
        <f>+D163</f>
        <v>257.10000000000002</v>
      </c>
      <c r="H170" s="645"/>
      <c r="L170" s="646"/>
    </row>
    <row r="171" spans="1:15" s="181" customFormat="1" ht="15.75" x14ac:dyDescent="0.25">
      <c r="C171" s="189">
        <v>132</v>
      </c>
      <c r="D171" s="1008" t="s">
        <v>713</v>
      </c>
      <c r="E171" s="1009"/>
      <c r="F171" s="643">
        <f>+D164</f>
        <v>0</v>
      </c>
      <c r="H171" s="644"/>
    </row>
    <row r="172" spans="1:15" s="181" customFormat="1" ht="15.75" x14ac:dyDescent="0.25">
      <c r="C172" s="189">
        <v>133</v>
      </c>
      <c r="D172" s="1004" t="s">
        <v>177</v>
      </c>
      <c r="E172" s="1005"/>
      <c r="F172" s="647">
        <f>F169+F170+F171</f>
        <v>2694.8318181818181</v>
      </c>
      <c r="H172" s="644"/>
    </row>
    <row r="173" spans="1:15" s="181" customFormat="1" ht="15.75" x14ac:dyDescent="0.25">
      <c r="C173" s="189">
        <v>134</v>
      </c>
      <c r="D173" s="1004" t="s">
        <v>181</v>
      </c>
      <c r="E173" s="1005"/>
      <c r="F173" s="647">
        <f>+D165</f>
        <v>107.8</v>
      </c>
      <c r="H173" s="646"/>
    </row>
    <row r="174" spans="1:15" s="181" customFormat="1" ht="15.75" x14ac:dyDescent="0.25">
      <c r="C174" s="189">
        <v>136</v>
      </c>
      <c r="D174" s="1013" t="s">
        <v>187</v>
      </c>
      <c r="E174" s="1014"/>
      <c r="F174" s="1014"/>
      <c r="G174" s="191">
        <v>6.8000000000000005E-2</v>
      </c>
      <c r="H174" s="192">
        <f>IF(F172&lt;F168,F169*0.9825+F173,IF(F169&gt;F168,F168*0.9825+F169-F168+F173, F169*0.9825+F173))</f>
        <v>2502.8715113636367</v>
      </c>
      <c r="J174" s="644"/>
      <c r="L174" s="644"/>
      <c r="M174" s="194"/>
      <c r="N174" s="644"/>
      <c r="O174" s="183"/>
    </row>
    <row r="175" spans="1:15" s="181" customFormat="1" ht="15.75" x14ac:dyDescent="0.25">
      <c r="C175" s="189">
        <v>137</v>
      </c>
      <c r="D175" s="1013" t="s">
        <v>182</v>
      </c>
      <c r="E175" s="1014"/>
      <c r="F175" s="1014"/>
      <c r="G175" s="191">
        <v>6.8000000000000005E-2</v>
      </c>
      <c r="H175" s="657">
        <f>IF(F172&gt;F168,IF(F169&gt;F168,F170,IF((F169+F171)&gt;F168,F170,(F168-F169-F171)*0.9825+F171-F168+F169+F170)),F170*0.9825)</f>
        <v>252.60075000000003</v>
      </c>
      <c r="J175" s="644"/>
      <c r="L175" s="644"/>
      <c r="M175" s="194"/>
      <c r="N175" s="644"/>
      <c r="O175" s="183"/>
    </row>
    <row r="176" spans="1:15" s="181" customFormat="1" ht="15.75" x14ac:dyDescent="0.25">
      <c r="C176" s="189">
        <v>138</v>
      </c>
      <c r="D176" s="1013" t="s">
        <v>183</v>
      </c>
      <c r="E176" s="1014"/>
      <c r="F176" s="1014"/>
      <c r="G176" s="191">
        <v>6.8000000000000005E-2</v>
      </c>
      <c r="H176" s="648">
        <f>IF(F172&gt;F168,IF(F169&gt;F168,F171,IF((F169+F171)&lt;F168,F171*0.9825,IF((F168-F169+F171)&gt;F171,(F168-F169) *0.9825+(F171-F168+F169),F171*0.9825))),F171*0.9825)</f>
        <v>0</v>
      </c>
      <c r="J176" s="649"/>
      <c r="L176" s="644"/>
      <c r="M176" s="194"/>
      <c r="N176" s="644"/>
      <c r="O176" s="183"/>
    </row>
    <row r="177" spans="1:15" s="181" customFormat="1" ht="15.75" x14ac:dyDescent="0.25">
      <c r="C177" s="189">
        <v>139</v>
      </c>
      <c r="D177" s="1004" t="s">
        <v>184</v>
      </c>
      <c r="E177" s="1005"/>
      <c r="F177" s="1005"/>
      <c r="G177" s="191">
        <v>2.9000000000000001E-2</v>
      </c>
      <c r="H177" s="192">
        <f>H174</f>
        <v>2502.8715113636367</v>
      </c>
      <c r="J177" s="649"/>
      <c r="L177" s="644"/>
      <c r="M177" s="194"/>
      <c r="N177" s="644"/>
      <c r="O177" s="183"/>
    </row>
    <row r="178" spans="1:15" s="181" customFormat="1" ht="15.75" x14ac:dyDescent="0.25">
      <c r="C178" s="189">
        <v>140</v>
      </c>
      <c r="D178" s="1012" t="s">
        <v>185</v>
      </c>
      <c r="E178" s="1012"/>
      <c r="F178" s="1004"/>
      <c r="G178" s="191">
        <v>2.9000000000000001E-2</v>
      </c>
      <c r="H178" s="192">
        <f>H175+H176</f>
        <v>252.60075000000003</v>
      </c>
      <c r="J178" s="644"/>
      <c r="L178" s="644"/>
      <c r="M178" s="194"/>
      <c r="N178" s="644"/>
      <c r="O178" s="183"/>
    </row>
    <row r="179" spans="1:15" s="181" customFormat="1" ht="15.75" x14ac:dyDescent="0.25"/>
    <row r="180" spans="1:15" s="181" customFormat="1" ht="15.75" x14ac:dyDescent="0.25">
      <c r="B180" s="1010" t="s">
        <v>714</v>
      </c>
      <c r="C180" s="1010"/>
      <c r="D180" s="1010"/>
      <c r="E180" s="1010"/>
      <c r="F180" s="192">
        <f>(F169*0.9825)</f>
        <v>2395.0715113636365</v>
      </c>
      <c r="J180" s="650"/>
      <c r="K180" s="183"/>
      <c r="L180" s="650"/>
      <c r="M180" s="184"/>
      <c r="N180" s="650"/>
      <c r="O180" s="183"/>
    </row>
    <row r="181" spans="1:15" s="181" customFormat="1" ht="15.75" x14ac:dyDescent="0.25">
      <c r="B181" s="1010" t="s">
        <v>181</v>
      </c>
      <c r="C181" s="1010"/>
      <c r="D181" s="1010"/>
      <c r="E181" s="1010"/>
      <c r="F181" s="192">
        <f>F173</f>
        <v>107.8</v>
      </c>
      <c r="J181" s="650"/>
      <c r="K181" s="183"/>
      <c r="L181" s="650"/>
      <c r="M181" s="184"/>
      <c r="N181" s="650"/>
      <c r="O181" s="183"/>
    </row>
    <row r="182" spans="1:15" s="181" customFormat="1" ht="15.75" x14ac:dyDescent="0.25">
      <c r="B182" s="1010" t="s">
        <v>715</v>
      </c>
      <c r="C182" s="1010"/>
      <c r="D182" s="1010"/>
      <c r="E182" s="651">
        <v>6.8000000000000005E-2</v>
      </c>
      <c r="F182" s="652">
        <f>SUM(F180:F181)</f>
        <v>2502.8715113636367</v>
      </c>
      <c r="J182" s="650"/>
      <c r="K182" s="183"/>
      <c r="L182" s="650"/>
      <c r="M182" s="184"/>
      <c r="N182" s="650"/>
      <c r="O182" s="183"/>
    </row>
    <row r="183" spans="1:15" s="181" customFormat="1" ht="15.75" x14ac:dyDescent="0.25">
      <c r="B183" s="1010" t="s">
        <v>716</v>
      </c>
      <c r="C183" s="1010"/>
      <c r="D183" s="1010"/>
      <c r="E183" s="651">
        <v>2.9000000000000001E-2</v>
      </c>
      <c r="F183" s="192">
        <f>F182</f>
        <v>2502.8715113636367</v>
      </c>
      <c r="J183" s="650"/>
      <c r="K183" s="183"/>
      <c r="L183" s="650"/>
      <c r="M183" s="184"/>
      <c r="N183" s="650"/>
      <c r="O183" s="183"/>
    </row>
    <row r="184" spans="1:15" s="181" customFormat="1" ht="15.75" x14ac:dyDescent="0.25">
      <c r="B184" s="1010" t="s">
        <v>717</v>
      </c>
      <c r="C184" s="1010"/>
      <c r="D184" s="1010"/>
      <c r="E184" s="651">
        <f>E182</f>
        <v>6.8000000000000005E-2</v>
      </c>
      <c r="F184" s="653">
        <f>H176</f>
        <v>0</v>
      </c>
      <c r="J184" s="650"/>
      <c r="K184" s="183"/>
      <c r="L184" s="650"/>
      <c r="M184" s="184"/>
      <c r="N184" s="650"/>
      <c r="O184" s="183"/>
    </row>
    <row r="185" spans="1:15" s="181" customFormat="1" ht="15.75" x14ac:dyDescent="0.25">
      <c r="B185" s="1010" t="s">
        <v>718</v>
      </c>
      <c r="C185" s="1010"/>
      <c r="D185" s="1010"/>
      <c r="E185" s="651">
        <v>6.8000000000000005E-2</v>
      </c>
      <c r="F185" s="654">
        <f>H175</f>
        <v>252.60075000000003</v>
      </c>
      <c r="G185" s="632"/>
      <c r="N185" s="655"/>
    </row>
    <row r="186" spans="1:15" s="181" customFormat="1" ht="15.75" x14ac:dyDescent="0.25">
      <c r="B186" s="642" t="s">
        <v>719</v>
      </c>
      <c r="C186" s="642"/>
      <c r="D186" s="642"/>
      <c r="E186" s="651">
        <v>2.9000000000000001E-2</v>
      </c>
      <c r="F186" s="656">
        <f>F184+F185</f>
        <v>252.60075000000003</v>
      </c>
      <c r="L186" s="646"/>
    </row>
    <row r="187" spans="1:15" s="56" customFormat="1" x14ac:dyDescent="0.25">
      <c r="A187"/>
      <c r="B187" s="985" t="s">
        <v>186</v>
      </c>
      <c r="C187" s="986"/>
      <c r="D187" s="987"/>
      <c r="E187" s="177">
        <f>F50</f>
        <v>0.11310000000000001</v>
      </c>
      <c r="F187" s="161">
        <f>E187*D131</f>
        <v>29.078010000000003</v>
      </c>
    </row>
    <row r="188" spans="1:15" s="181" customFormat="1" ht="15.75" x14ac:dyDescent="0.25"/>
    <row r="189" spans="1:15" s="181" customFormat="1" ht="15.75" x14ac:dyDescent="0.25">
      <c r="E189" s="181" t="s">
        <v>720</v>
      </c>
    </row>
    <row r="190" spans="1:15" s="181" customFormat="1" ht="15.75" x14ac:dyDescent="0.25">
      <c r="D190" s="181" t="s">
        <v>721</v>
      </c>
      <c r="E190" s="181" t="s">
        <v>722</v>
      </c>
    </row>
    <row r="191" spans="1:15" s="181" customFormat="1" ht="15.75" x14ac:dyDescent="0.25">
      <c r="C191" s="181" t="s">
        <v>723</v>
      </c>
    </row>
    <row r="192" spans="1:15" s="181" customFormat="1" ht="15.75" x14ac:dyDescent="0.25">
      <c r="D192" s="181" t="s">
        <v>724</v>
      </c>
      <c r="E192" s="181" t="s">
        <v>725</v>
      </c>
    </row>
    <row r="193" spans="2:5" s="181" customFormat="1" ht="15.75" x14ac:dyDescent="0.25">
      <c r="E193" s="181" t="s">
        <v>726</v>
      </c>
    </row>
    <row r="194" spans="2:5" s="181" customFormat="1" ht="15.75" x14ac:dyDescent="0.25"/>
    <row r="195" spans="2:5" s="181" customFormat="1" ht="15.75" x14ac:dyDescent="0.25">
      <c r="B195" s="181" t="s">
        <v>705</v>
      </c>
    </row>
    <row r="196" spans="2:5" s="181" customFormat="1" ht="15.75" x14ac:dyDescent="0.25">
      <c r="C196" s="181" t="s">
        <v>706</v>
      </c>
    </row>
    <row r="197" spans="2:5" s="181" customFormat="1" ht="15.75" x14ac:dyDescent="0.25">
      <c r="C197" s="181" t="s">
        <v>707</v>
      </c>
    </row>
    <row r="198" spans="2:5" s="181" customFormat="1" ht="15.75" x14ac:dyDescent="0.25">
      <c r="C198" s="181" t="s">
        <v>708</v>
      </c>
    </row>
    <row r="199" spans="2:5" s="181" customFormat="1" ht="15.75" x14ac:dyDescent="0.25"/>
  </sheetData>
  <mergeCells count="87">
    <mergeCell ref="B180:E180"/>
    <mergeCell ref="B181:E181"/>
    <mergeCell ref="B187:D187"/>
    <mergeCell ref="A162:C162"/>
    <mergeCell ref="A163:C163"/>
    <mergeCell ref="A164:C164"/>
    <mergeCell ref="A165:C165"/>
    <mergeCell ref="B182:D182"/>
    <mergeCell ref="B183:D183"/>
    <mergeCell ref="B184:D184"/>
    <mergeCell ref="B185:D185"/>
    <mergeCell ref="D178:F178"/>
    <mergeCell ref="D173:E173"/>
    <mergeCell ref="D174:F174"/>
    <mergeCell ref="D175:F175"/>
    <mergeCell ref="D176:F176"/>
    <mergeCell ref="B130:C130"/>
    <mergeCell ref="B129:C129"/>
    <mergeCell ref="A127:F127"/>
    <mergeCell ref="A119:D119"/>
    <mergeCell ref="D177:F177"/>
    <mergeCell ref="D168:E168"/>
    <mergeCell ref="D169:E169"/>
    <mergeCell ref="D170:E170"/>
    <mergeCell ref="D171:E171"/>
    <mergeCell ref="D172:E172"/>
    <mergeCell ref="B138:D138"/>
    <mergeCell ref="B139:D139"/>
    <mergeCell ref="B131:C131"/>
    <mergeCell ref="B133:C133"/>
    <mergeCell ref="B134:C134"/>
    <mergeCell ref="B136:D136"/>
    <mergeCell ref="B137:D137"/>
    <mergeCell ref="E38:F38"/>
    <mergeCell ref="B43:C43"/>
    <mergeCell ref="B44:C44"/>
    <mergeCell ref="B38:C38"/>
    <mergeCell ref="A120:D120"/>
    <mergeCell ref="A116:D116"/>
    <mergeCell ref="A91:D91"/>
    <mergeCell ref="A92:D92"/>
    <mergeCell ref="A89:D89"/>
    <mergeCell ref="A94:D94"/>
    <mergeCell ref="A121:D121"/>
    <mergeCell ref="A93:D93"/>
    <mergeCell ref="A90:D90"/>
    <mergeCell ref="B54:H54"/>
    <mergeCell ref="A84:E84"/>
    <mergeCell ref="N19:Q19"/>
    <mergeCell ref="N21:Q21"/>
    <mergeCell ref="B49:C49"/>
    <mergeCell ref="B40:C40"/>
    <mergeCell ref="B41:C41"/>
    <mergeCell ref="B42:C42"/>
    <mergeCell ref="B45:C45"/>
    <mergeCell ref="B46:C46"/>
    <mergeCell ref="B47:C47"/>
    <mergeCell ref="B48:C48"/>
    <mergeCell ref="G38:K38"/>
    <mergeCell ref="B21:I21"/>
    <mergeCell ref="A19:M19"/>
    <mergeCell ref="A111:D111"/>
    <mergeCell ref="A114:D114"/>
    <mergeCell ref="A110:D110"/>
    <mergeCell ref="A118:D118"/>
    <mergeCell ref="B50:C50"/>
    <mergeCell ref="A99:D99"/>
    <mergeCell ref="A100:D100"/>
    <mergeCell ref="A104:D104"/>
    <mergeCell ref="A85:D85"/>
    <mergeCell ref="A88:D88"/>
    <mergeCell ref="E145:I145"/>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8" sqref="C8"/>
    </sheetView>
  </sheetViews>
  <sheetFormatPr baseColWidth="10" defaultColWidth="11.42578125" defaultRowHeight="15" x14ac:dyDescent="0.2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x14ac:dyDescent="0.25">
      <c r="A2" s="1020" t="s">
        <v>604</v>
      </c>
      <c r="B2" s="1021"/>
      <c r="C2" s="1021"/>
      <c r="D2" s="1021"/>
      <c r="E2" s="1021"/>
      <c r="F2" s="1021"/>
      <c r="G2" s="1022"/>
    </row>
    <row r="3" spans="1:9" x14ac:dyDescent="0.25">
      <c r="A3" s="59"/>
      <c r="B3" s="59"/>
      <c r="C3" s="59"/>
      <c r="D3" s="59"/>
      <c r="E3" s="59"/>
      <c r="F3" s="59"/>
      <c r="G3" s="59"/>
    </row>
    <row r="6" spans="1:9" x14ac:dyDescent="0.25">
      <c r="A6" s="944" t="s">
        <v>605</v>
      </c>
      <c r="B6" s="944"/>
      <c r="C6" s="489">
        <f>+'TR Matrice Cotisations '!E5</f>
        <v>12</v>
      </c>
    </row>
    <row r="7" spans="1:9" x14ac:dyDescent="0.25">
      <c r="C7" s="37"/>
    </row>
    <row r="8" spans="1:9" x14ac:dyDescent="0.25">
      <c r="A8" s="944" t="s">
        <v>606</v>
      </c>
      <c r="B8" s="944"/>
      <c r="C8" s="490">
        <f>+'TR Matrice Cotisations '!E7</f>
        <v>6</v>
      </c>
    </row>
    <row r="9" spans="1:9" x14ac:dyDescent="0.25">
      <c r="C9" s="37"/>
    </row>
    <row r="10" spans="1:9" x14ac:dyDescent="0.25">
      <c r="A10" s="944" t="s">
        <v>607</v>
      </c>
      <c r="B10" s="944"/>
      <c r="C10" s="490">
        <f>+'TR Matrice Cotisations '!E9</f>
        <v>22</v>
      </c>
      <c r="D10" s="895"/>
      <c r="E10" s="896"/>
      <c r="F10" s="896"/>
      <c r="G10" s="896"/>
    </row>
    <row r="12" spans="1:9" x14ac:dyDescent="0.25">
      <c r="D12" s="1019" t="s">
        <v>608</v>
      </c>
      <c r="E12" s="1019"/>
      <c r="F12" s="1019"/>
      <c r="G12" s="1019"/>
    </row>
    <row r="14" spans="1:9" ht="24" x14ac:dyDescent="0.25">
      <c r="A14" s="944" t="s">
        <v>609</v>
      </c>
      <c r="B14" s="944"/>
      <c r="C14" s="482" t="str">
        <f>IF(C8&lt;=60%*C6,"Régle respectée","Régle non respectée")</f>
        <v>Régle respectée</v>
      </c>
      <c r="D14" s="483">
        <f>IF(C8-60%*C6&lt;0,0,C8)</f>
        <v>0</v>
      </c>
      <c r="E14" s="750" t="s">
        <v>610</v>
      </c>
      <c r="F14" s="748"/>
      <c r="G14" s="944" t="s">
        <v>611</v>
      </c>
    </row>
    <row r="15" spans="1:9" x14ac:dyDescent="0.25">
      <c r="C15" s="59"/>
      <c r="D15" s="37"/>
      <c r="G15" s="944"/>
      <c r="H15" s="944" t="s">
        <v>612</v>
      </c>
      <c r="I15" s="944"/>
    </row>
    <row r="16" spans="1:9" ht="24" x14ac:dyDescent="0.25">
      <c r="A16" s="750" t="s">
        <v>613</v>
      </c>
      <c r="B16" s="750"/>
      <c r="C16" s="482" t="str">
        <f>IF(C8&gt;=50%*C6,"Régle respectée","Régle non respectée ")</f>
        <v>Régle respectée</v>
      </c>
      <c r="D16" s="483">
        <f>IF(C16="Régle respectée",0,C8)</f>
        <v>0</v>
      </c>
      <c r="E16" s="750" t="s">
        <v>610</v>
      </c>
      <c r="F16" s="748"/>
      <c r="G16" s="944"/>
      <c r="H16" s="944">
        <f>MAX(D14,D16,D18)</f>
        <v>0</v>
      </c>
      <c r="I16" s="944"/>
    </row>
    <row r="17" spans="1:7" x14ac:dyDescent="0.25">
      <c r="C17" s="59"/>
      <c r="D17" s="37"/>
      <c r="G17" s="944"/>
    </row>
    <row r="18" spans="1:7" ht="25.5" x14ac:dyDescent="0.25">
      <c r="A18" s="988" t="s">
        <v>614</v>
      </c>
      <c r="B18" s="988"/>
      <c r="C18" s="484" t="str">
        <f>IF(C8&gt;7.26,"Régle non respectée","Régle respectée ")</f>
        <v xml:space="preserve">Régle respectée </v>
      </c>
      <c r="D18" s="485">
        <f>IF(C8&lt;=7.26,0,C8-7.26)</f>
        <v>0</v>
      </c>
      <c r="E18" s="988" t="s">
        <v>615</v>
      </c>
      <c r="F18" s="1018"/>
      <c r="G18" s="944"/>
    </row>
    <row r="20" spans="1:7" hidden="1" x14ac:dyDescent="0.25"/>
    <row r="21" spans="1:7" x14ac:dyDescent="0.25">
      <c r="A21" s="944" t="s">
        <v>616</v>
      </c>
      <c r="B21" s="944"/>
      <c r="C21" s="37">
        <f>C6-C8</f>
        <v>6</v>
      </c>
    </row>
    <row r="23" spans="1:7" x14ac:dyDescent="0.25">
      <c r="A23" s="944" t="s">
        <v>617</v>
      </c>
      <c r="B23" s="944"/>
      <c r="C23" s="37">
        <f>C10</f>
        <v>22</v>
      </c>
    </row>
    <row r="25" spans="1:7" x14ac:dyDescent="0.25">
      <c r="A25" s="944" t="s">
        <v>618</v>
      </c>
      <c r="B25" s="944"/>
      <c r="C25" s="37">
        <f>C8*C23</f>
        <v>132</v>
      </c>
    </row>
    <row r="27" spans="1:7" x14ac:dyDescent="0.25">
      <c r="A27" s="944" t="s">
        <v>619</v>
      </c>
      <c r="B27" s="944"/>
      <c r="C27" s="37">
        <f>C21*C23</f>
        <v>132</v>
      </c>
    </row>
    <row r="29" spans="1:7" x14ac:dyDescent="0.25">
      <c r="A29" s="750" t="s">
        <v>620</v>
      </c>
      <c r="B29" s="750"/>
      <c r="C29" s="1015">
        <f>MAX(D14,D16,D18)*C23</f>
        <v>0</v>
      </c>
    </row>
    <row r="30" spans="1:7" x14ac:dyDescent="0.25">
      <c r="A30" s="750"/>
      <c r="B30" s="750"/>
      <c r="C30" s="1016"/>
    </row>
    <row r="31" spans="1:7" x14ac:dyDescent="0.25">
      <c r="A31" s="750"/>
      <c r="B31" s="750"/>
      <c r="C31" s="1016"/>
    </row>
    <row r="32" spans="1:7" hidden="1" x14ac:dyDescent="0.25">
      <c r="A32" s="750"/>
      <c r="B32" s="750"/>
      <c r="C32" s="1017"/>
    </row>
    <row r="34" spans="3:3" x14ac:dyDescent="0.25">
      <c r="C34" s="713"/>
    </row>
    <row r="35" spans="3:3" x14ac:dyDescent="0.25">
      <c r="C35" s="713"/>
    </row>
    <row r="36" spans="3:3" x14ac:dyDescent="0.25">
      <c r="C36" s="713"/>
    </row>
    <row r="37" spans="3:3" x14ac:dyDescent="0.25">
      <c r="C37" s="713"/>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7" sqref="E7"/>
    </sheetView>
  </sheetViews>
  <sheetFormatPr baseColWidth="10" defaultColWidth="11.42578125" defaultRowHeight="15.75" x14ac:dyDescent="0.2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x14ac:dyDescent="0.25">
      <c r="B1" s="1023" t="s">
        <v>621</v>
      </c>
      <c r="C1" s="1024"/>
      <c r="D1" s="1024"/>
      <c r="E1" s="1024"/>
      <c r="F1" s="1024"/>
      <c r="G1" s="1024"/>
      <c r="H1" s="1024"/>
      <c r="I1" s="1025"/>
    </row>
    <row r="3" spans="2:9" hidden="1" x14ac:dyDescent="0.25"/>
    <row r="4" spans="2:9" x14ac:dyDescent="0.25">
      <c r="E4" s="183"/>
      <c r="G4" s="183"/>
    </row>
    <row r="5" spans="2:9" x14ac:dyDescent="0.25">
      <c r="B5" s="711" t="s">
        <v>605</v>
      </c>
      <c r="C5" s="711"/>
      <c r="E5" s="486">
        <f>+'MASQUE DE SAISIE '!E48+'MASQUE DE SAISIE '!E49</f>
        <v>12</v>
      </c>
      <c r="G5" s="183"/>
    </row>
    <row r="6" spans="2:9" x14ac:dyDescent="0.25">
      <c r="E6" s="208"/>
      <c r="G6" s="183"/>
    </row>
    <row r="7" spans="2:9" x14ac:dyDescent="0.25">
      <c r="B7" s="711" t="s">
        <v>606</v>
      </c>
      <c r="C7" s="711"/>
      <c r="E7" s="487">
        <f>+'MASQUE DE SAISIE '!E49</f>
        <v>6</v>
      </c>
      <c r="G7" s="183"/>
    </row>
    <row r="8" spans="2:9" x14ac:dyDescent="0.25">
      <c r="E8" s="208"/>
      <c r="G8" s="183"/>
    </row>
    <row r="9" spans="2:9" x14ac:dyDescent="0.25">
      <c r="B9" s="711" t="s">
        <v>607</v>
      </c>
      <c r="C9" s="711"/>
      <c r="E9" s="488">
        <f>'MASQUE DE SAISIE '!E47</f>
        <v>22</v>
      </c>
      <c r="G9" s="1026" t="s">
        <v>622</v>
      </c>
      <c r="H9" s="1026"/>
    </row>
    <row r="10" spans="2:9" x14ac:dyDescent="0.25">
      <c r="E10" s="183"/>
      <c r="G10" s="183"/>
    </row>
    <row r="11" spans="2:9" ht="63" x14ac:dyDescent="0.25">
      <c r="E11" s="183"/>
      <c r="G11" s="38" t="s">
        <v>623</v>
      </c>
      <c r="H11" s="38" t="s">
        <v>624</v>
      </c>
    </row>
    <row r="12" spans="2:9" x14ac:dyDescent="0.25">
      <c r="E12" s="183"/>
      <c r="G12" s="183"/>
    </row>
    <row r="13" spans="2:9" ht="31.5" x14ac:dyDescent="0.25">
      <c r="B13" s="711" t="s">
        <v>625</v>
      </c>
      <c r="C13" s="711"/>
      <c r="E13" s="281" t="str">
        <f>IF(E7&lt;=60%*E5,"Régle respectée","Régle non respectée")</f>
        <v>Régle respectée</v>
      </c>
      <c r="G13" s="38">
        <f>IF(E7-60%*E5&lt;0,0,E7-60%*E5)</f>
        <v>0</v>
      </c>
      <c r="H13" s="711">
        <f>MAX(G13,G15,G17)</f>
        <v>0</v>
      </c>
    </row>
    <row r="14" spans="2:9" x14ac:dyDescent="0.25">
      <c r="E14" s="208"/>
      <c r="G14" s="38"/>
      <c r="H14" s="711"/>
    </row>
    <row r="15" spans="2:9" ht="31.5" x14ac:dyDescent="0.25">
      <c r="B15" s="711" t="s">
        <v>626</v>
      </c>
      <c r="C15" s="711"/>
      <c r="E15" s="281" t="str">
        <f>IF(E7&gt;=50%*E5,"Régle respectée","Régle non respectée ")</f>
        <v>Régle respectée</v>
      </c>
      <c r="G15" s="38">
        <f>IF(E15="Régle respectée",0,50%*E5-E7)</f>
        <v>0</v>
      </c>
      <c r="H15" s="711"/>
    </row>
    <row r="16" spans="2:9" x14ac:dyDescent="0.25">
      <c r="E16" s="208"/>
      <c r="G16" s="38"/>
      <c r="H16" s="711"/>
    </row>
    <row r="17" spans="2:8" ht="31.5" x14ac:dyDescent="0.25">
      <c r="B17" s="711" t="s">
        <v>627</v>
      </c>
      <c r="C17" s="711"/>
      <c r="E17" s="281" t="str">
        <f>IF(E7&gt;7.26,"Régle non respectée","Régle respectée ")</f>
        <v xml:space="preserve">Régle respectée </v>
      </c>
      <c r="G17" s="38">
        <f>IF(E7&lt;=7.26,0,E7-7.26)</f>
        <v>0</v>
      </c>
      <c r="H17" s="711"/>
    </row>
    <row r="18" spans="2:8" x14ac:dyDescent="0.25">
      <c r="E18" s="183"/>
      <c r="G18" s="183"/>
    </row>
    <row r="19" spans="2:8" x14ac:dyDescent="0.25">
      <c r="B19" s="711" t="s">
        <v>616</v>
      </c>
      <c r="C19" s="711"/>
      <c r="E19" s="38">
        <f>E5-E7</f>
        <v>6</v>
      </c>
      <c r="G19" s="183"/>
    </row>
    <row r="20" spans="2:8" x14ac:dyDescent="0.25">
      <c r="E20" s="183"/>
      <c r="G20" s="183"/>
    </row>
    <row r="21" spans="2:8" x14ac:dyDescent="0.25">
      <c r="B21" s="711" t="s">
        <v>617</v>
      </c>
      <c r="C21" s="711"/>
      <c r="E21" s="38">
        <f>E9</f>
        <v>22</v>
      </c>
      <c r="G21" s="183"/>
    </row>
    <row r="22" spans="2:8" x14ac:dyDescent="0.25">
      <c r="E22" s="183"/>
      <c r="G22" s="183"/>
    </row>
    <row r="23" spans="2:8" x14ac:dyDescent="0.25">
      <c r="B23" s="711" t="s">
        <v>618</v>
      </c>
      <c r="C23" s="711"/>
      <c r="E23" s="38">
        <f>E7*E21</f>
        <v>132</v>
      </c>
      <c r="G23" s="183"/>
    </row>
    <row r="24" spans="2:8" x14ac:dyDescent="0.25">
      <c r="E24" s="183"/>
      <c r="G24" s="183"/>
    </row>
    <row r="25" spans="2:8" x14ac:dyDescent="0.25">
      <c r="B25" s="711" t="s">
        <v>619</v>
      </c>
      <c r="C25" s="711"/>
      <c r="E25" s="38">
        <f>E19*E21</f>
        <v>132</v>
      </c>
      <c r="G25" s="183"/>
    </row>
    <row r="26" spans="2:8" x14ac:dyDescent="0.25">
      <c r="E26" s="183"/>
      <c r="G26" s="183"/>
    </row>
    <row r="27" spans="2:8" x14ac:dyDescent="0.25">
      <c r="B27" s="711" t="s">
        <v>628</v>
      </c>
      <c r="C27" s="711"/>
      <c r="E27" s="183"/>
      <c r="G27" s="183"/>
    </row>
    <row r="28" spans="2:8" x14ac:dyDescent="0.25">
      <c r="B28" s="711"/>
      <c r="C28" s="711"/>
      <c r="E28" s="711">
        <f>MAX(G17,G15,G13)*E21</f>
        <v>0</v>
      </c>
      <c r="G28" s="183"/>
    </row>
    <row r="29" spans="2:8" x14ac:dyDescent="0.25">
      <c r="B29" s="711"/>
      <c r="C29" s="711"/>
      <c r="E29" s="711"/>
      <c r="G29" s="183"/>
    </row>
    <row r="30" spans="2:8" x14ac:dyDescent="0.25">
      <c r="B30" s="711"/>
      <c r="C30" s="711"/>
      <c r="E30" s="183"/>
      <c r="G30" s="183"/>
    </row>
    <row r="31" spans="2:8" x14ac:dyDescent="0.25">
      <c r="E31" s="183"/>
      <c r="G31" s="183"/>
    </row>
    <row r="32" spans="2:8" x14ac:dyDescent="0.25">
      <c r="E32" s="708"/>
      <c r="G32" s="183"/>
    </row>
    <row r="33" spans="5:7" x14ac:dyDescent="0.25">
      <c r="E33" s="708"/>
      <c r="G33" s="183"/>
    </row>
    <row r="34" spans="5:7" x14ac:dyDescent="0.25">
      <c r="E34" s="708"/>
      <c r="G34" s="183"/>
    </row>
    <row r="35" spans="5:7" x14ac:dyDescent="0.25">
      <c r="E35" s="708"/>
      <c r="G35" s="183"/>
    </row>
    <row r="36" spans="5:7" x14ac:dyDescent="0.25">
      <c r="E36" s="183"/>
      <c r="G36" s="183"/>
    </row>
    <row r="37" spans="5:7" x14ac:dyDescent="0.25">
      <c r="E37" s="183"/>
      <c r="G37" s="183"/>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x14ac:dyDescent="0.3">
      <c r="A1" s="1027" t="s">
        <v>0</v>
      </c>
      <c r="B1" s="1027"/>
      <c r="C1" s="1027"/>
      <c r="D1" s="1028"/>
      <c r="E1" s="295"/>
      <c r="F1" s="1029" t="s">
        <v>1</v>
      </c>
      <c r="G1" s="1030"/>
      <c r="H1" s="1030"/>
      <c r="I1" s="1030"/>
      <c r="J1" s="1031"/>
    </row>
    <row r="2" spans="1:10" ht="15.75" customHeight="1" x14ac:dyDescent="0.3">
      <c r="A2" s="530" t="s">
        <v>294</v>
      </c>
      <c r="B2" s="1032" t="s">
        <v>673</v>
      </c>
      <c r="C2" s="1033"/>
      <c r="D2" s="1034"/>
      <c r="E2" s="297"/>
      <c r="F2" s="298" t="s">
        <v>294</v>
      </c>
      <c r="G2" s="1035" t="s">
        <v>674</v>
      </c>
      <c r="H2" s="1035"/>
      <c r="I2" s="1035"/>
      <c r="J2" s="1035"/>
    </row>
    <row r="3" spans="1:10" ht="15.75" customHeight="1" x14ac:dyDescent="0.3">
      <c r="A3" s="530" t="s">
        <v>295</v>
      </c>
      <c r="B3" s="1032" t="s">
        <v>675</v>
      </c>
      <c r="C3" s="1033"/>
      <c r="D3" s="1034"/>
      <c r="E3" s="297"/>
      <c r="F3" s="298" t="s">
        <v>306</v>
      </c>
      <c r="G3" s="1035" t="s">
        <v>676</v>
      </c>
      <c r="H3" s="1035"/>
      <c r="I3" s="1035"/>
      <c r="J3" s="1035"/>
    </row>
    <row r="4" spans="1:10" ht="15.75" customHeight="1" x14ac:dyDescent="0.3">
      <c r="A4" s="530"/>
      <c r="B4" s="1039"/>
      <c r="C4" s="1040"/>
      <c r="D4" s="1040"/>
      <c r="E4" s="297"/>
      <c r="F4" s="298" t="s">
        <v>307</v>
      </c>
      <c r="G4" s="1035" t="s">
        <v>677</v>
      </c>
      <c r="H4" s="1035"/>
      <c r="I4" s="1035"/>
      <c r="J4" s="1035"/>
    </row>
    <row r="5" spans="1:10" ht="15.75" customHeight="1" x14ac:dyDescent="0.3">
      <c r="A5" s="530" t="s">
        <v>6</v>
      </c>
      <c r="B5" s="1041">
        <v>34464426500029</v>
      </c>
      <c r="C5" s="1042"/>
      <c r="D5" s="1043"/>
      <c r="E5" s="299"/>
      <c r="F5" s="298" t="s">
        <v>678</v>
      </c>
      <c r="G5" s="1044" t="s">
        <v>679</v>
      </c>
      <c r="H5" s="1035"/>
      <c r="I5" s="1035"/>
      <c r="J5" s="1035"/>
    </row>
    <row r="6" spans="1:10" ht="15.75" customHeight="1" x14ac:dyDescent="0.3">
      <c r="A6" s="530" t="s">
        <v>8</v>
      </c>
      <c r="B6" s="1045" t="s">
        <v>680</v>
      </c>
      <c r="C6" s="1042"/>
      <c r="D6" s="1043"/>
      <c r="E6" s="297"/>
      <c r="F6" s="298" t="s">
        <v>681</v>
      </c>
      <c r="G6" s="1046" t="s">
        <v>682</v>
      </c>
      <c r="H6" s="1046"/>
      <c r="I6" s="1046"/>
      <c r="J6" s="1046"/>
    </row>
    <row r="7" spans="1:10" ht="15.75" customHeight="1" x14ac:dyDescent="0.3">
      <c r="A7" s="530" t="s">
        <v>10</v>
      </c>
      <c r="B7" s="794"/>
      <c r="C7" s="795"/>
      <c r="D7" s="796"/>
      <c r="E7" s="299"/>
      <c r="F7" s="300" t="s">
        <v>295</v>
      </c>
      <c r="G7" s="1035" t="s">
        <v>683</v>
      </c>
      <c r="H7" s="1035"/>
      <c r="I7" s="1035"/>
      <c r="J7" s="1035"/>
    </row>
    <row r="8" spans="1:10" ht="15.75" customHeight="1" x14ac:dyDescent="0.3">
      <c r="A8" s="530" t="s">
        <v>11</v>
      </c>
      <c r="B8" s="531">
        <v>60</v>
      </c>
      <c r="C8" s="936"/>
      <c r="D8" s="792"/>
      <c r="E8" s="297"/>
      <c r="F8" s="813" t="s">
        <v>12</v>
      </c>
      <c r="G8" s="814"/>
      <c r="H8" s="302"/>
      <c r="I8" s="303">
        <v>1</v>
      </c>
      <c r="J8" s="303" t="s">
        <v>684</v>
      </c>
    </row>
    <row r="9" spans="1:10" ht="23.45" customHeight="1" x14ac:dyDescent="0.3">
      <c r="A9" s="532" t="s">
        <v>13</v>
      </c>
      <c r="B9" s="533">
        <v>151.66999999999999</v>
      </c>
      <c r="C9" s="308" t="s">
        <v>14</v>
      </c>
      <c r="D9" s="534">
        <v>11.88</v>
      </c>
      <c r="E9" s="297"/>
      <c r="F9" s="820" t="s">
        <v>685</v>
      </c>
      <c r="G9" s="822"/>
      <c r="H9" s="535">
        <v>45658</v>
      </c>
      <c r="I9" s="536" t="s">
        <v>686</v>
      </c>
      <c r="J9" s="535">
        <v>45688</v>
      </c>
    </row>
    <row r="10" spans="1:10" ht="26.25" customHeight="1" x14ac:dyDescent="0.3">
      <c r="A10" s="509"/>
      <c r="B10" s="1036"/>
      <c r="C10" s="1037"/>
      <c r="D10" s="1038"/>
      <c r="E10" s="309"/>
      <c r="F10" s="308" t="s">
        <v>16</v>
      </c>
      <c r="G10" s="537">
        <v>45688</v>
      </c>
      <c r="H10" s="61"/>
      <c r="I10" s="61"/>
      <c r="J10" s="357"/>
    </row>
    <row r="11" spans="1:10" ht="13.9" customHeight="1" x14ac:dyDescent="0.3">
      <c r="A11" s="1047"/>
      <c r="B11" s="1047"/>
      <c r="C11" s="1047"/>
      <c r="D11" s="1047"/>
      <c r="E11" s="1047"/>
      <c r="F11" s="1047"/>
      <c r="G11" s="1047"/>
      <c r="H11" s="1047"/>
      <c r="I11" s="1047"/>
      <c r="J11" s="1047"/>
    </row>
    <row r="12" spans="1:10" ht="15.75" customHeight="1" x14ac:dyDescent="0.3">
      <c r="A12" s="821" t="s">
        <v>17</v>
      </c>
      <c r="B12" s="821"/>
      <c r="C12" s="821"/>
      <c r="D12" s="821"/>
      <c r="E12" s="821"/>
      <c r="F12" s="822"/>
      <c r="G12" s="311">
        <v>151.66999999999999</v>
      </c>
      <c r="H12" s="308" t="s">
        <v>18</v>
      </c>
      <c r="I12" s="312">
        <f>J12/G12</f>
        <v>20.456055910859106</v>
      </c>
      <c r="J12" s="313">
        <v>3102.57</v>
      </c>
    </row>
    <row r="13" spans="1:10" ht="15.75" hidden="1" customHeight="1" x14ac:dyDescent="0.3">
      <c r="A13" s="821" t="s">
        <v>224</v>
      </c>
      <c r="B13" s="821"/>
      <c r="C13" s="821"/>
      <c r="D13" s="821"/>
      <c r="E13" s="821"/>
      <c r="F13" s="822"/>
      <c r="G13" s="308"/>
      <c r="H13" s="308"/>
      <c r="I13" s="312"/>
      <c r="J13" s="313"/>
    </row>
    <row r="14" spans="1:10" ht="15" customHeight="1" x14ac:dyDescent="0.3">
      <c r="A14" s="821" t="s">
        <v>383</v>
      </c>
      <c r="B14" s="821"/>
      <c r="C14" s="821"/>
      <c r="D14" s="821"/>
      <c r="E14" s="821"/>
      <c r="F14" s="822"/>
      <c r="G14" s="314"/>
      <c r="H14" s="315"/>
      <c r="I14" s="312"/>
      <c r="J14" s="313"/>
    </row>
    <row r="15" spans="1:10" ht="15.75" hidden="1" customHeight="1" x14ac:dyDescent="0.3">
      <c r="A15" s="821" t="s">
        <v>687</v>
      </c>
      <c r="B15" s="821"/>
      <c r="C15" s="821"/>
      <c r="D15" s="821"/>
      <c r="E15" s="821"/>
      <c r="F15" s="822"/>
      <c r="G15" s="314"/>
      <c r="H15" s="315"/>
      <c r="I15" s="312"/>
      <c r="J15" s="313"/>
    </row>
    <row r="16" spans="1:10" ht="15.75" hidden="1" customHeight="1" x14ac:dyDescent="0.3">
      <c r="A16" s="821" t="s">
        <v>19</v>
      </c>
      <c r="B16" s="821"/>
      <c r="C16" s="821"/>
      <c r="D16" s="821"/>
      <c r="E16" s="821"/>
      <c r="F16" s="822"/>
      <c r="G16" s="314"/>
      <c r="H16" s="315" t="s">
        <v>18</v>
      </c>
      <c r="I16" s="312"/>
      <c r="J16" s="313"/>
    </row>
    <row r="17" spans="1:10" ht="15.75" hidden="1" customHeight="1" x14ac:dyDescent="0.3">
      <c r="A17" s="821" t="s">
        <v>225</v>
      </c>
      <c r="B17" s="821"/>
      <c r="C17" s="821"/>
      <c r="D17" s="821"/>
      <c r="E17" s="821"/>
      <c r="F17" s="822"/>
      <c r="G17" s="314"/>
      <c r="H17" s="315" t="s">
        <v>18</v>
      </c>
      <c r="I17" s="312"/>
      <c r="J17" s="313"/>
    </row>
    <row r="18" spans="1:10" ht="15.75" hidden="1" customHeight="1" x14ac:dyDescent="0.3">
      <c r="A18" s="821" t="s">
        <v>226</v>
      </c>
      <c r="B18" s="821"/>
      <c r="C18" s="821"/>
      <c r="D18" s="821"/>
      <c r="E18" s="821"/>
      <c r="F18" s="822"/>
      <c r="G18" s="314"/>
      <c r="H18" s="315" t="s">
        <v>18</v>
      </c>
      <c r="I18" s="312"/>
      <c r="J18" s="313"/>
    </row>
    <row r="19" spans="1:10" ht="15.75" hidden="1" customHeight="1" x14ac:dyDescent="0.3">
      <c r="A19" s="821" t="s">
        <v>227</v>
      </c>
      <c r="B19" s="821"/>
      <c r="C19" s="821"/>
      <c r="D19" s="821"/>
      <c r="E19" s="821"/>
      <c r="F19" s="822"/>
      <c r="G19" s="314"/>
      <c r="H19" s="315" t="s">
        <v>18</v>
      </c>
      <c r="I19" s="312"/>
      <c r="J19" s="313"/>
    </row>
    <row r="20" spans="1:10" ht="15.75" hidden="1" customHeight="1" x14ac:dyDescent="0.3">
      <c r="A20" s="821" t="s">
        <v>228</v>
      </c>
      <c r="B20" s="821"/>
      <c r="C20" s="821"/>
      <c r="D20" s="821"/>
      <c r="E20" s="821"/>
      <c r="F20" s="822"/>
      <c r="G20" s="429" t="e">
        <v>#REF!</v>
      </c>
      <c r="H20" s="315" t="s">
        <v>18</v>
      </c>
      <c r="I20" s="312">
        <f>ROUND(((J12+J15)*1.25/G12),6)</f>
        <v>25.570070000000001</v>
      </c>
      <c r="J20" s="313"/>
    </row>
    <row r="21" spans="1:10" ht="15.75" hidden="1" customHeight="1" x14ac:dyDescent="0.3">
      <c r="A21" s="821" t="s">
        <v>229</v>
      </c>
      <c r="B21" s="821"/>
      <c r="C21" s="821"/>
      <c r="D21" s="821"/>
      <c r="E21" s="821"/>
      <c r="F21" s="822"/>
      <c r="G21" s="314"/>
      <c r="H21" s="315" t="s">
        <v>20</v>
      </c>
      <c r="I21" s="308"/>
      <c r="J21" s="313"/>
    </row>
    <row r="22" spans="1:10" ht="15.75" hidden="1" customHeight="1" x14ac:dyDescent="0.3">
      <c r="A22" s="821" t="s">
        <v>688</v>
      </c>
      <c r="B22" s="821"/>
      <c r="C22" s="821"/>
      <c r="D22" s="821"/>
      <c r="E22" s="821"/>
      <c r="F22" s="822"/>
      <c r="G22" s="310"/>
      <c r="H22" s="316"/>
      <c r="I22" s="304"/>
      <c r="J22" s="317"/>
    </row>
    <row r="23" spans="1:10" ht="15.75" hidden="1" customHeight="1" x14ac:dyDescent="0.3">
      <c r="A23" s="821" t="s">
        <v>21</v>
      </c>
      <c r="B23" s="821"/>
      <c r="C23" s="821"/>
      <c r="D23" s="821"/>
      <c r="E23" s="821"/>
      <c r="F23" s="822"/>
      <c r="G23" s="310"/>
      <c r="H23" s="316"/>
      <c r="I23" s="304"/>
      <c r="J23" s="317"/>
    </row>
    <row r="24" spans="1:10" ht="15.75" hidden="1" customHeight="1" x14ac:dyDescent="0.3">
      <c r="A24" s="821" t="s">
        <v>22</v>
      </c>
      <c r="B24" s="821"/>
      <c r="C24" s="821"/>
      <c r="D24" s="821"/>
      <c r="E24" s="821"/>
      <c r="F24" s="822"/>
      <c r="G24" s="310"/>
      <c r="H24" s="316"/>
      <c r="I24" s="304"/>
      <c r="J24" s="317"/>
    </row>
    <row r="25" spans="1:10" ht="15.75" hidden="1" customHeight="1" x14ac:dyDescent="0.3">
      <c r="A25" s="821" t="s">
        <v>23</v>
      </c>
      <c r="B25" s="821"/>
      <c r="C25" s="821"/>
      <c r="D25" s="821"/>
      <c r="E25" s="821"/>
      <c r="F25" s="822"/>
      <c r="G25" s="310"/>
      <c r="H25" s="316"/>
      <c r="I25" s="304"/>
      <c r="J25" s="317"/>
    </row>
    <row r="26" spans="1:10" ht="15.75" hidden="1" customHeight="1" x14ac:dyDescent="0.3">
      <c r="A26" s="821" t="s">
        <v>24</v>
      </c>
      <c r="B26" s="821"/>
      <c r="C26" s="821"/>
      <c r="D26" s="821"/>
      <c r="E26" s="821"/>
      <c r="F26" s="822"/>
      <c r="G26" s="310"/>
      <c r="H26" s="316"/>
      <c r="I26" s="304"/>
      <c r="J26" s="317"/>
    </row>
    <row r="27" spans="1:10" ht="15.75" hidden="1" customHeight="1" x14ac:dyDescent="0.3">
      <c r="A27" s="821" t="s">
        <v>25</v>
      </c>
      <c r="B27" s="821"/>
      <c r="C27" s="821"/>
      <c r="D27" s="821"/>
      <c r="E27" s="821"/>
      <c r="F27" s="822"/>
      <c r="G27" s="310"/>
      <c r="H27" s="316"/>
      <c r="I27" s="304"/>
      <c r="J27" s="317"/>
    </row>
    <row r="28" spans="1:10" ht="15.75" hidden="1" customHeight="1" x14ac:dyDescent="0.3">
      <c r="A28" s="821" t="s">
        <v>26</v>
      </c>
      <c r="B28" s="821"/>
      <c r="C28" s="821"/>
      <c r="D28" s="821"/>
      <c r="E28" s="821"/>
      <c r="F28" s="822"/>
      <c r="G28" s="310"/>
      <c r="H28" s="316"/>
      <c r="I28" s="304"/>
      <c r="J28" s="317"/>
    </row>
    <row r="29" spans="1:10" ht="15.75" hidden="1" customHeight="1" x14ac:dyDescent="0.3">
      <c r="A29" s="821" t="s">
        <v>27</v>
      </c>
      <c r="B29" s="821"/>
      <c r="C29" s="821"/>
      <c r="D29" s="821"/>
      <c r="E29" s="821"/>
      <c r="F29" s="822"/>
      <c r="G29" s="310"/>
      <c r="H29" s="316"/>
      <c r="I29" s="304"/>
      <c r="J29" s="317"/>
    </row>
    <row r="30" spans="1:10" ht="15.75" hidden="1" customHeight="1" x14ac:dyDescent="0.3">
      <c r="A30" s="821" t="s">
        <v>28</v>
      </c>
      <c r="B30" s="821"/>
      <c r="C30" s="821"/>
      <c r="D30" s="821"/>
      <c r="E30" s="821"/>
      <c r="F30" s="822"/>
      <c r="G30" s="310"/>
      <c r="H30" s="316"/>
      <c r="I30" s="304"/>
      <c r="J30" s="317"/>
    </row>
    <row r="31" spans="1:10" ht="15.75" hidden="1" customHeight="1" x14ac:dyDescent="0.3">
      <c r="A31" s="821"/>
      <c r="B31" s="821"/>
      <c r="C31" s="821"/>
      <c r="D31" s="821"/>
      <c r="E31" s="821"/>
      <c r="F31" s="822"/>
      <c r="G31" s="310"/>
      <c r="H31" s="316"/>
      <c r="I31" s="304"/>
      <c r="J31" s="317"/>
    </row>
    <row r="32" spans="1:10" ht="15.75" customHeight="1" x14ac:dyDescent="0.3">
      <c r="A32" s="1048" t="s">
        <v>29</v>
      </c>
      <c r="B32" s="1048"/>
      <c r="C32" s="534">
        <v>3925</v>
      </c>
      <c r="D32" s="829" t="s">
        <v>30</v>
      </c>
      <c r="E32" s="830"/>
      <c r="F32" s="830"/>
      <c r="G32" s="830"/>
      <c r="H32" s="830"/>
      <c r="I32" s="831"/>
      <c r="J32" s="538">
        <f>J12</f>
        <v>3102.57</v>
      </c>
    </row>
    <row r="33" spans="1:12" ht="14.25" customHeight="1" x14ac:dyDescent="0.3">
      <c r="A33" s="1049"/>
      <c r="B33" s="1049"/>
      <c r="C33" s="1049"/>
      <c r="D33" s="1049"/>
      <c r="E33" s="1049"/>
      <c r="F33" s="1049"/>
      <c r="G33" s="1049"/>
      <c r="H33" s="1049"/>
      <c r="I33" s="1049"/>
      <c r="J33" s="1050"/>
    </row>
    <row r="34" spans="1:12" ht="45.6" customHeight="1" x14ac:dyDescent="0.3">
      <c r="A34" s="927" t="s">
        <v>278</v>
      </c>
      <c r="B34" s="928"/>
      <c r="C34" s="1052" t="s">
        <v>32</v>
      </c>
      <c r="D34" s="1052"/>
      <c r="E34" s="354" t="s">
        <v>33</v>
      </c>
      <c r="F34" s="354" t="s">
        <v>34</v>
      </c>
      <c r="G34" s="1052" t="s">
        <v>35</v>
      </c>
      <c r="H34" s="1052"/>
      <c r="I34" s="1052" t="s">
        <v>36</v>
      </c>
      <c r="J34" s="1052"/>
    </row>
    <row r="35" spans="1:12" ht="19.899999999999999" customHeight="1" x14ac:dyDescent="0.3">
      <c r="A35" s="1053" t="s">
        <v>37</v>
      </c>
      <c r="B35" s="1054"/>
      <c r="C35" s="937"/>
      <c r="D35" s="937"/>
      <c r="E35" s="937"/>
      <c r="F35" s="937"/>
      <c r="G35" s="937"/>
      <c r="H35" s="937"/>
      <c r="I35" s="937"/>
      <c r="J35" s="937"/>
    </row>
    <row r="36" spans="1:12" ht="30.6" customHeight="1" x14ac:dyDescent="0.3">
      <c r="A36" s="739" t="s">
        <v>261</v>
      </c>
      <c r="B36" s="759"/>
      <c r="C36" s="1051">
        <f>J32</f>
        <v>3102.57</v>
      </c>
      <c r="D36" s="1051"/>
      <c r="E36" s="540"/>
      <c r="F36" s="541">
        <v>7.0000000000000007E-2</v>
      </c>
      <c r="G36" s="1051">
        <f t="shared" ref="G36:G41" si="0">ROUND(C36*E36,2)</f>
        <v>0</v>
      </c>
      <c r="H36" s="1051"/>
      <c r="I36" s="1051">
        <f t="shared" ref="I36:I41" si="1">ROUND(C36*F36,2)</f>
        <v>217.18</v>
      </c>
      <c r="J36" s="1051"/>
    </row>
    <row r="37" spans="1:12" ht="30.6" customHeight="1" x14ac:dyDescent="0.3">
      <c r="A37" s="739" t="s">
        <v>196</v>
      </c>
      <c r="B37" s="759"/>
      <c r="C37" s="1051"/>
      <c r="D37" s="1051"/>
      <c r="E37" s="540"/>
      <c r="F37" s="541">
        <v>0.06</v>
      </c>
      <c r="G37" s="1051">
        <f t="shared" si="0"/>
        <v>0</v>
      </c>
      <c r="H37" s="1051"/>
      <c r="I37" s="1051">
        <f t="shared" si="1"/>
        <v>0</v>
      </c>
      <c r="J37" s="1051"/>
    </row>
    <row r="38" spans="1:12" ht="30.75" hidden="1" customHeight="1" x14ac:dyDescent="0.3">
      <c r="A38" s="933"/>
      <c r="B38" s="933"/>
      <c r="C38" s="1051"/>
      <c r="D38" s="1051"/>
      <c r="E38" s="542"/>
      <c r="F38" s="541"/>
      <c r="G38" s="1051">
        <f t="shared" si="0"/>
        <v>0</v>
      </c>
      <c r="H38" s="1051"/>
      <c r="I38" s="1051">
        <f t="shared" si="1"/>
        <v>0</v>
      </c>
      <c r="J38" s="1051"/>
    </row>
    <row r="39" spans="1:12" ht="22.9" customHeight="1" x14ac:dyDescent="0.3">
      <c r="A39" s="739" t="s">
        <v>239</v>
      </c>
      <c r="B39" s="759"/>
      <c r="C39" s="1051">
        <f>J32</f>
        <v>3102.57</v>
      </c>
      <c r="D39" s="1051"/>
      <c r="E39" s="540">
        <v>0.01</v>
      </c>
      <c r="F39" s="541">
        <v>1.7999999999999999E-2</v>
      </c>
      <c r="G39" s="1051">
        <f t="shared" si="0"/>
        <v>31.03</v>
      </c>
      <c r="H39" s="1051"/>
      <c r="I39" s="1051">
        <f t="shared" si="1"/>
        <v>55.85</v>
      </c>
      <c r="J39" s="1051"/>
    </row>
    <row r="40" spans="1:12" ht="22.9" customHeight="1" x14ac:dyDescent="0.3">
      <c r="A40" s="835" t="s">
        <v>197</v>
      </c>
      <c r="B40" s="1055"/>
      <c r="C40" s="1056"/>
      <c r="D40" s="1056"/>
      <c r="E40" s="540"/>
      <c r="F40" s="541"/>
      <c r="G40" s="1051">
        <f t="shared" si="0"/>
        <v>0</v>
      </c>
      <c r="H40" s="1051"/>
      <c r="I40" s="1051">
        <f t="shared" si="1"/>
        <v>0</v>
      </c>
      <c r="J40" s="1051"/>
    </row>
    <row r="41" spans="1:12" ht="20.45" customHeight="1" x14ac:dyDescent="0.3">
      <c r="A41" s="739" t="s">
        <v>192</v>
      </c>
      <c r="B41" s="759"/>
      <c r="C41" s="1056"/>
      <c r="D41" s="1056"/>
      <c r="E41" s="540">
        <v>1.12E-2</v>
      </c>
      <c r="F41" s="541">
        <v>1.6799999999999999E-2</v>
      </c>
      <c r="G41" s="1051">
        <f t="shared" si="0"/>
        <v>0</v>
      </c>
      <c r="H41" s="1051"/>
      <c r="I41" s="1051">
        <f t="shared" si="1"/>
        <v>0</v>
      </c>
      <c r="J41" s="1051"/>
    </row>
    <row r="42" spans="1:12" ht="22.9" hidden="1" customHeight="1" x14ac:dyDescent="0.3">
      <c r="A42" s="739"/>
      <c r="B42" s="759"/>
      <c r="C42" s="1056"/>
      <c r="D42" s="1056"/>
      <c r="E42" s="540"/>
      <c r="F42" s="541"/>
      <c r="G42" s="1056"/>
      <c r="H42" s="1056"/>
      <c r="I42" s="1056"/>
      <c r="J42" s="1056"/>
    </row>
    <row r="43" spans="1:12" ht="22.9" hidden="1" customHeight="1" x14ac:dyDescent="0.3">
      <c r="A43" s="1059"/>
      <c r="B43" s="1059"/>
      <c r="C43" s="1056"/>
      <c r="D43" s="1056"/>
      <c r="E43" s="540"/>
      <c r="F43" s="541"/>
      <c r="G43" s="1056"/>
      <c r="H43" s="1056"/>
      <c r="I43" s="1056"/>
      <c r="J43" s="1056"/>
    </row>
    <row r="44" spans="1:12" ht="22.9" customHeight="1" x14ac:dyDescent="0.3">
      <c r="A44" s="1057" t="s">
        <v>38</v>
      </c>
      <c r="B44" s="1057"/>
      <c r="C44" s="1058"/>
      <c r="D44" s="1058"/>
      <c r="E44" s="540"/>
      <c r="F44" s="543"/>
      <c r="G44" s="1051"/>
      <c r="H44" s="1051"/>
      <c r="I44" s="1051"/>
      <c r="J44" s="1051"/>
    </row>
    <row r="45" spans="1:12" ht="19.899999999999999" customHeight="1" x14ac:dyDescent="0.3">
      <c r="A45" s="1057" t="s">
        <v>39</v>
      </c>
      <c r="B45" s="1057"/>
      <c r="C45" s="1058"/>
      <c r="D45" s="1058"/>
      <c r="E45" s="540"/>
      <c r="F45" s="543"/>
      <c r="G45" s="1051"/>
      <c r="H45" s="1051"/>
      <c r="I45" s="1051"/>
      <c r="J45" s="1051"/>
    </row>
    <row r="46" spans="1:12" ht="28.15" customHeight="1" x14ac:dyDescent="0.3">
      <c r="A46" s="738" t="s">
        <v>40</v>
      </c>
      <c r="B46" s="738"/>
      <c r="C46" s="1058"/>
      <c r="D46" s="1058"/>
      <c r="E46" s="540"/>
      <c r="F46" s="543"/>
      <c r="G46" s="1051"/>
      <c r="H46" s="1051"/>
      <c r="I46" s="1051"/>
      <c r="J46" s="1051"/>
    </row>
    <row r="47" spans="1:12" ht="28.15" customHeight="1" x14ac:dyDescent="0.3">
      <c r="A47" s="738" t="s">
        <v>41</v>
      </c>
      <c r="B47" s="738"/>
      <c r="C47" s="1051"/>
      <c r="D47" s="1051"/>
      <c r="E47" s="540"/>
      <c r="F47" s="543"/>
      <c r="G47" s="1051"/>
      <c r="H47" s="1051"/>
      <c r="I47" s="1051"/>
      <c r="J47" s="1051"/>
    </row>
    <row r="48" spans="1:12" ht="28.15" customHeight="1" x14ac:dyDescent="0.3">
      <c r="A48" s="738" t="s">
        <v>42</v>
      </c>
      <c r="B48" s="738"/>
      <c r="C48" s="1051"/>
      <c r="D48" s="1051"/>
      <c r="E48" s="544"/>
      <c r="F48" s="543"/>
      <c r="G48" s="1051"/>
      <c r="H48" s="1051"/>
      <c r="I48" s="1051"/>
      <c r="J48" s="1051"/>
      <c r="K48" s="913"/>
      <c r="L48" s="913"/>
    </row>
    <row r="49" spans="1:14" ht="28.15" customHeight="1" x14ac:dyDescent="0.3">
      <c r="A49" s="738" t="s">
        <v>43</v>
      </c>
      <c r="B49" s="738"/>
      <c r="C49" s="1060"/>
      <c r="D49" s="1060"/>
      <c r="E49" s="545"/>
      <c r="F49" s="543"/>
      <c r="G49" s="1051"/>
      <c r="H49" s="1051"/>
      <c r="I49" s="1051"/>
      <c r="J49" s="1051"/>
      <c r="K49" s="221"/>
      <c r="L49" s="222"/>
      <c r="M49" s="223"/>
      <c r="N49" s="222"/>
    </row>
    <row r="50" spans="1:14" ht="28.15" customHeight="1" x14ac:dyDescent="0.3">
      <c r="A50" s="718" t="s">
        <v>73</v>
      </c>
      <c r="B50" s="1061"/>
      <c r="C50" s="1060"/>
      <c r="D50" s="1060"/>
      <c r="E50" s="545"/>
      <c r="F50" s="543"/>
      <c r="G50" s="1051"/>
      <c r="H50" s="1051"/>
      <c r="I50" s="1051"/>
      <c r="J50" s="1051"/>
      <c r="K50" s="221"/>
      <c r="L50" s="222"/>
      <c r="M50" s="223"/>
      <c r="N50" s="222"/>
    </row>
    <row r="51" spans="1:14" ht="28.15" customHeight="1" x14ac:dyDescent="0.3">
      <c r="A51" s="718" t="s">
        <v>74</v>
      </c>
      <c r="B51" s="1061"/>
      <c r="C51" s="1060"/>
      <c r="D51" s="1060"/>
      <c r="E51" s="545"/>
      <c r="F51" s="543"/>
      <c r="G51" s="1051"/>
      <c r="H51" s="1051"/>
      <c r="I51" s="1051"/>
      <c r="J51" s="1051"/>
      <c r="K51" s="221"/>
      <c r="L51" s="222"/>
      <c r="M51" s="223"/>
      <c r="N51" s="222"/>
    </row>
    <row r="52" spans="1:14" ht="28.15" customHeight="1" x14ac:dyDescent="0.3">
      <c r="A52" s="718" t="s">
        <v>75</v>
      </c>
      <c r="B52" s="1061"/>
      <c r="C52" s="1060"/>
      <c r="D52" s="1060"/>
      <c r="E52" s="545"/>
      <c r="F52" s="543"/>
      <c r="G52" s="1051"/>
      <c r="H52" s="1051"/>
      <c r="I52" s="1051"/>
      <c r="J52" s="1051"/>
      <c r="K52" s="221"/>
      <c r="L52" s="222"/>
      <c r="M52" s="223"/>
      <c r="N52" s="222"/>
    </row>
    <row r="53" spans="1:14" ht="28.15" customHeight="1" x14ac:dyDescent="0.3">
      <c r="A53" s="718" t="s">
        <v>76</v>
      </c>
      <c r="B53" s="1061"/>
      <c r="C53" s="1060"/>
      <c r="D53" s="1060"/>
      <c r="E53" s="545"/>
      <c r="F53" s="543"/>
      <c r="G53" s="1051"/>
      <c r="H53" s="1051"/>
      <c r="I53" s="1051"/>
      <c r="J53" s="1051"/>
      <c r="K53" s="221"/>
      <c r="L53" s="222"/>
      <c r="M53" s="223"/>
      <c r="N53" s="222"/>
    </row>
    <row r="54" spans="1:14" ht="22.9" customHeight="1" x14ac:dyDescent="0.3">
      <c r="A54" s="1062" t="s">
        <v>44</v>
      </c>
      <c r="B54" s="1062"/>
      <c r="C54" s="1060"/>
      <c r="D54" s="1060"/>
      <c r="E54" s="545"/>
      <c r="F54" s="543"/>
      <c r="G54" s="1051"/>
      <c r="H54" s="1051"/>
      <c r="I54" s="1051"/>
      <c r="J54" s="1051"/>
      <c r="K54" s="224"/>
      <c r="M54" s="225"/>
      <c r="N54" s="216"/>
    </row>
    <row r="55" spans="1:14" ht="22.9" customHeight="1" x14ac:dyDescent="0.3">
      <c r="A55" s="738" t="s">
        <v>240</v>
      </c>
      <c r="B55" s="738"/>
      <c r="C55" s="1051"/>
      <c r="D55" s="1051"/>
      <c r="E55" s="546"/>
      <c r="F55" s="543"/>
      <c r="G55" s="1051"/>
      <c r="H55" s="1051"/>
      <c r="I55" s="1051"/>
      <c r="J55" s="1051"/>
      <c r="K55" s="224"/>
      <c r="M55" s="225"/>
      <c r="N55" s="216"/>
    </row>
    <row r="56" spans="1:14" ht="22.9" customHeight="1" x14ac:dyDescent="0.3">
      <c r="A56" s="738" t="s">
        <v>241</v>
      </c>
      <c r="B56" s="738"/>
      <c r="C56" s="1051"/>
      <c r="D56" s="1051"/>
      <c r="E56" s="546"/>
      <c r="F56" s="543"/>
      <c r="G56" s="1051"/>
      <c r="H56" s="1051"/>
      <c r="I56" s="1051"/>
      <c r="J56" s="1051"/>
      <c r="K56" s="224"/>
      <c r="M56" s="225"/>
      <c r="N56" s="216"/>
    </row>
    <row r="57" spans="1:14" ht="22.9" customHeight="1" x14ac:dyDescent="0.3">
      <c r="A57" s="1062" t="s">
        <v>45</v>
      </c>
      <c r="B57" s="1062"/>
      <c r="C57" s="1051"/>
      <c r="D57" s="1051"/>
      <c r="E57" s="545"/>
      <c r="F57" s="543"/>
      <c r="G57" s="1051"/>
      <c r="H57" s="1051"/>
      <c r="I57" s="1051"/>
      <c r="J57" s="1051"/>
      <c r="K57" s="224"/>
      <c r="L57" s="227"/>
    </row>
    <row r="58" spans="1:14" ht="22.9" customHeight="1" x14ac:dyDescent="0.3">
      <c r="A58" s="738" t="s">
        <v>689</v>
      </c>
      <c r="B58" s="738"/>
      <c r="C58" s="1051"/>
      <c r="D58" s="1051"/>
      <c r="E58" s="545"/>
      <c r="F58" s="543"/>
      <c r="G58" s="1051"/>
      <c r="H58" s="1051"/>
      <c r="I58" s="1051"/>
      <c r="J58" s="1051"/>
      <c r="K58" s="224"/>
      <c r="L58" s="227"/>
    </row>
    <row r="59" spans="1:14" ht="22.9" customHeight="1" x14ac:dyDescent="0.3">
      <c r="A59" s="738" t="s">
        <v>267</v>
      </c>
      <c r="B59" s="738"/>
      <c r="C59" s="1051"/>
      <c r="D59" s="1051"/>
      <c r="E59" s="547"/>
      <c r="F59" s="543"/>
      <c r="G59" s="1051"/>
      <c r="H59" s="1051"/>
      <c r="I59" s="1063"/>
      <c r="J59" s="1064"/>
      <c r="K59" s="224"/>
      <c r="L59" s="227"/>
    </row>
    <row r="60" spans="1:14" ht="22.9" customHeight="1" x14ac:dyDescent="0.3">
      <c r="A60" s="1062" t="s">
        <v>644</v>
      </c>
      <c r="B60" s="1062"/>
      <c r="C60" s="1051"/>
      <c r="D60" s="1051"/>
      <c r="E60" s="539"/>
      <c r="F60" s="543"/>
      <c r="G60" s="1051"/>
      <c r="H60" s="1051"/>
      <c r="I60" s="1051"/>
      <c r="J60" s="1051"/>
      <c r="K60" s="224"/>
      <c r="L60" s="218"/>
    </row>
    <row r="61" spans="1:14" ht="22.9" customHeight="1" x14ac:dyDescent="0.3">
      <c r="A61" s="1067" t="s">
        <v>47</v>
      </c>
      <c r="B61" s="1068"/>
      <c r="C61" s="1051"/>
      <c r="D61" s="1051"/>
      <c r="E61" s="548"/>
      <c r="F61" s="549"/>
      <c r="G61" s="1065"/>
      <c r="H61" s="1066"/>
      <c r="I61" s="1051"/>
      <c r="J61" s="1051"/>
    </row>
    <row r="62" spans="1:14" ht="22.9" customHeight="1" x14ac:dyDescent="0.3">
      <c r="A62" s="887" t="s">
        <v>48</v>
      </c>
      <c r="B62" s="887"/>
      <c r="C62" s="1051"/>
      <c r="D62" s="1051"/>
      <c r="E62" s="539"/>
      <c r="F62" s="552"/>
      <c r="G62" s="1065"/>
      <c r="H62" s="1066"/>
      <c r="I62" s="1051"/>
      <c r="J62" s="1051"/>
    </row>
    <row r="63" spans="1:14" ht="22.9" customHeight="1" x14ac:dyDescent="0.3">
      <c r="A63" s="887" t="s">
        <v>49</v>
      </c>
      <c r="B63" s="887"/>
      <c r="C63" s="1051"/>
      <c r="D63" s="1051"/>
      <c r="E63" s="539"/>
      <c r="F63" s="552"/>
      <c r="G63" s="1065"/>
      <c r="H63" s="1066"/>
      <c r="I63" s="1051"/>
      <c r="J63" s="1051"/>
    </row>
    <row r="64" spans="1:14" ht="22.9" customHeight="1" x14ac:dyDescent="0.3">
      <c r="A64" s="887" t="s">
        <v>50</v>
      </c>
      <c r="B64" s="887"/>
      <c r="C64" s="1051"/>
      <c r="D64" s="1051"/>
      <c r="E64" s="539"/>
      <c r="F64" s="552"/>
      <c r="G64" s="1065"/>
      <c r="H64" s="1066"/>
      <c r="I64" s="1065"/>
      <c r="J64" s="1066"/>
    </row>
    <row r="65" spans="1:10" ht="22.9" customHeight="1" x14ac:dyDescent="0.3">
      <c r="A65" s="887" t="s">
        <v>51</v>
      </c>
      <c r="B65" s="887"/>
      <c r="C65" s="1051"/>
      <c r="D65" s="1051"/>
      <c r="E65" s="539"/>
      <c r="F65" s="552"/>
      <c r="G65" s="1051"/>
      <c r="H65" s="1051"/>
      <c r="I65" s="1051"/>
      <c r="J65" s="1051"/>
    </row>
    <row r="66" spans="1:10" ht="22.9" customHeight="1" x14ac:dyDescent="0.3">
      <c r="A66" s="887" t="s">
        <v>52</v>
      </c>
      <c r="B66" s="887"/>
      <c r="C66" s="1051"/>
      <c r="D66" s="1051"/>
      <c r="E66" s="539"/>
      <c r="F66" s="552"/>
      <c r="G66" s="1051"/>
      <c r="H66" s="1051"/>
      <c r="I66" s="1051"/>
      <c r="J66" s="1051"/>
    </row>
    <row r="67" spans="1:10" ht="22.9" customHeight="1" x14ac:dyDescent="0.3">
      <c r="A67" s="1062" t="s">
        <v>270</v>
      </c>
      <c r="B67" s="1069"/>
      <c r="C67" s="1065"/>
      <c r="D67" s="1066"/>
      <c r="E67" s="553"/>
      <c r="F67" s="552"/>
      <c r="G67" s="1051"/>
      <c r="H67" s="1051"/>
      <c r="I67" s="1051"/>
      <c r="J67" s="1051"/>
    </row>
    <row r="68" spans="1:10" ht="27.6" customHeight="1" x14ac:dyDescent="0.3">
      <c r="A68" s="887" t="s">
        <v>53</v>
      </c>
      <c r="B68" s="887"/>
      <c r="C68" s="1065"/>
      <c r="D68" s="1066"/>
      <c r="E68" s="554"/>
      <c r="F68" s="552"/>
      <c r="G68" s="1070"/>
      <c r="H68" s="1070"/>
      <c r="I68" s="1051"/>
      <c r="J68" s="1051"/>
    </row>
    <row r="69" spans="1:10" ht="22.9" customHeight="1" x14ac:dyDescent="0.3">
      <c r="A69" s="887" t="s">
        <v>54</v>
      </c>
      <c r="B69" s="887"/>
      <c r="C69" s="1065"/>
      <c r="D69" s="1066"/>
      <c r="E69" s="550"/>
      <c r="F69" s="552"/>
      <c r="G69" s="1071"/>
      <c r="H69" s="1071"/>
      <c r="I69" s="1051"/>
      <c r="J69" s="1051"/>
    </row>
    <row r="70" spans="1:10" ht="22.9" customHeight="1" x14ac:dyDescent="0.3">
      <c r="A70" s="917" t="s">
        <v>242</v>
      </c>
      <c r="B70" s="918"/>
      <c r="C70" s="1065"/>
      <c r="D70" s="1066"/>
      <c r="E70" s="550"/>
      <c r="F70" s="552"/>
      <c r="G70" s="1051"/>
      <c r="H70" s="1051"/>
      <c r="I70" s="1051"/>
      <c r="J70" s="1051"/>
    </row>
    <row r="71" spans="1:10" ht="22.9" customHeight="1" x14ac:dyDescent="0.3">
      <c r="A71" s="887" t="s">
        <v>243</v>
      </c>
      <c r="B71" s="887"/>
      <c r="C71" s="1065"/>
      <c r="D71" s="1066"/>
      <c r="E71" s="540"/>
      <c r="F71" s="552"/>
      <c r="G71" s="1051"/>
      <c r="H71" s="1051"/>
      <c r="I71" s="1051"/>
      <c r="J71" s="1051"/>
    </row>
    <row r="72" spans="1:10" ht="22.9" customHeight="1" x14ac:dyDescent="0.3">
      <c r="A72" s="887" t="s">
        <v>244</v>
      </c>
      <c r="B72" s="887"/>
      <c r="C72" s="1065"/>
      <c r="D72" s="1066"/>
      <c r="E72" s="540"/>
      <c r="F72" s="552"/>
      <c r="G72" s="1051"/>
      <c r="H72" s="1051"/>
      <c r="I72" s="1051"/>
      <c r="J72" s="1051"/>
    </row>
    <row r="73" spans="1:10" ht="22.9" customHeight="1" x14ac:dyDescent="0.3">
      <c r="A73" s="887" t="s">
        <v>198</v>
      </c>
      <c r="B73" s="887"/>
      <c r="C73" s="1056"/>
      <c r="D73" s="1056"/>
      <c r="E73" s="540"/>
      <c r="F73" s="541"/>
      <c r="G73" s="1056"/>
      <c r="H73" s="1056"/>
      <c r="I73" s="1056"/>
      <c r="J73" s="1056"/>
    </row>
    <row r="74" spans="1:10" ht="22.9" customHeight="1" x14ac:dyDescent="0.3">
      <c r="A74" s="887" t="s">
        <v>690</v>
      </c>
      <c r="B74" s="887"/>
      <c r="C74" s="555"/>
      <c r="D74" s="556"/>
      <c r="E74" s="540"/>
      <c r="F74" s="557"/>
      <c r="G74" s="1072"/>
      <c r="H74" s="1073"/>
      <c r="I74" s="1072"/>
      <c r="J74" s="1073"/>
    </row>
    <row r="75" spans="1:10" ht="30.6" customHeight="1" x14ac:dyDescent="0.3">
      <c r="A75" s="884" t="s">
        <v>216</v>
      </c>
      <c r="B75" s="885"/>
      <c r="C75" s="1065"/>
      <c r="D75" s="1066"/>
      <c r="E75" s="558"/>
      <c r="F75" s="552"/>
      <c r="G75" s="1051"/>
      <c r="H75" s="1051"/>
      <c r="I75" s="1051"/>
      <c r="J75" s="1051"/>
    </row>
    <row r="76" spans="1:10" ht="30.6" customHeight="1" x14ac:dyDescent="0.3">
      <c r="A76" s="887" t="s">
        <v>245</v>
      </c>
      <c r="B76" s="887"/>
      <c r="C76" s="1065"/>
      <c r="D76" s="1066"/>
      <c r="E76" s="558"/>
      <c r="F76" s="558"/>
      <c r="G76" s="1051"/>
      <c r="H76" s="1051"/>
      <c r="I76" s="1051"/>
      <c r="J76" s="1051"/>
    </row>
    <row r="77" spans="1:10" ht="30" customHeight="1" x14ac:dyDescent="0.3">
      <c r="A77" s="887" t="s">
        <v>246</v>
      </c>
      <c r="B77" s="887"/>
      <c r="C77" s="1065"/>
      <c r="D77" s="1066"/>
      <c r="E77" s="558"/>
      <c r="F77" s="558"/>
      <c r="G77" s="1051"/>
      <c r="H77" s="1051"/>
      <c r="I77" s="1051"/>
      <c r="J77" s="1051"/>
    </row>
    <row r="78" spans="1:10" ht="25.9" customHeight="1" x14ac:dyDescent="0.3">
      <c r="A78" s="1074" t="s">
        <v>64</v>
      </c>
      <c r="B78" s="1074"/>
      <c r="C78" s="1074"/>
      <c r="D78" s="1074"/>
      <c r="E78" s="1074"/>
      <c r="F78" s="1074"/>
      <c r="G78" s="1074"/>
      <c r="H78" s="1074"/>
      <c r="I78" s="1065"/>
      <c r="J78" s="1066"/>
    </row>
    <row r="79" spans="1:10" ht="25.9" customHeight="1" x14ac:dyDescent="0.3">
      <c r="A79" s="1074" t="s">
        <v>217</v>
      </c>
      <c r="B79" s="1074"/>
      <c r="C79" s="1074"/>
      <c r="D79" s="1074"/>
      <c r="E79" s="1074"/>
      <c r="F79" s="1074"/>
      <c r="G79" s="1074"/>
      <c r="H79" s="1074"/>
      <c r="I79" s="550"/>
      <c r="J79" s="551"/>
    </row>
    <row r="80" spans="1:10" ht="25.9" customHeight="1" x14ac:dyDescent="0.3">
      <c r="A80" s="1074" t="s">
        <v>218</v>
      </c>
      <c r="B80" s="1074"/>
      <c r="C80" s="1074"/>
      <c r="D80" s="1074"/>
      <c r="E80" s="1074"/>
      <c r="F80" s="1074"/>
      <c r="G80" s="1074"/>
      <c r="H80" s="1074"/>
      <c r="I80" s="1065"/>
      <c r="J80" s="1066"/>
    </row>
    <row r="81" spans="1:10" ht="25.9" customHeight="1" x14ac:dyDescent="0.3">
      <c r="A81" s="1074" t="s">
        <v>289</v>
      </c>
      <c r="B81" s="1074"/>
      <c r="C81" s="1074"/>
      <c r="D81" s="1074"/>
      <c r="E81" s="1074"/>
      <c r="F81" s="1074"/>
      <c r="G81" s="1074"/>
      <c r="H81" s="1074"/>
      <c r="I81" s="550"/>
      <c r="J81" s="551"/>
    </row>
    <row r="82" spans="1:10" ht="42" customHeight="1" x14ac:dyDescent="0.3">
      <c r="A82" s="1075" t="s">
        <v>219</v>
      </c>
      <c r="B82" s="1076"/>
      <c r="C82" s="1079" t="s">
        <v>59</v>
      </c>
      <c r="D82" s="1079"/>
      <c r="E82" s="1079" t="s">
        <v>66</v>
      </c>
      <c r="F82" s="1079"/>
      <c r="G82" s="1079" t="s">
        <v>60</v>
      </c>
      <c r="H82" s="1079"/>
      <c r="I82" s="1065"/>
      <c r="J82" s="1066"/>
    </row>
    <row r="83" spans="1:10" ht="42" customHeight="1" x14ac:dyDescent="0.3">
      <c r="A83" s="1077"/>
      <c r="B83" s="1078"/>
      <c r="C83" s="1079"/>
      <c r="D83" s="1079"/>
      <c r="E83" s="1079"/>
      <c r="F83" s="1079"/>
      <c r="G83" s="1080"/>
      <c r="H83" s="1081"/>
      <c r="I83" s="1065"/>
      <c r="J83" s="1066"/>
    </row>
    <row r="84" spans="1:10" ht="27" customHeight="1" x14ac:dyDescent="0.3">
      <c r="A84" s="1074" t="s">
        <v>269</v>
      </c>
      <c r="B84" s="1074"/>
      <c r="C84" s="1074"/>
      <c r="D84" s="1074"/>
      <c r="E84" s="1074"/>
      <c r="F84" s="1074"/>
      <c r="G84" s="1074"/>
      <c r="H84" s="1074"/>
      <c r="I84" s="550"/>
      <c r="J84" s="551"/>
    </row>
    <row r="85" spans="1:10" ht="27" customHeight="1" x14ac:dyDescent="0.3">
      <c r="A85" s="1074" t="s">
        <v>271</v>
      </c>
      <c r="B85" s="1074"/>
      <c r="C85" s="1074"/>
      <c r="D85" s="1074"/>
      <c r="E85" s="1074"/>
      <c r="F85" s="1074"/>
      <c r="G85" s="1074"/>
      <c r="H85" s="1074"/>
      <c r="I85" s="1051"/>
      <c r="J85" s="1051"/>
    </row>
    <row r="86" spans="1:10" ht="27" customHeight="1" x14ac:dyDescent="0.3">
      <c r="A86" s="1074" t="s">
        <v>57</v>
      </c>
      <c r="B86" s="1074"/>
      <c r="C86" s="1074"/>
      <c r="D86" s="1074"/>
      <c r="E86" s="1074"/>
      <c r="F86" s="1074"/>
      <c r="G86" s="1074"/>
      <c r="H86" s="1074"/>
      <c r="I86" s="1051"/>
      <c r="J86" s="1051"/>
    </row>
    <row r="87" spans="1:10" customFormat="1" ht="25.9" customHeight="1" x14ac:dyDescent="0.25">
      <c r="A87" s="510"/>
      <c r="B87" s="345" t="s">
        <v>63</v>
      </c>
      <c r="C87" s="345" t="s">
        <v>272</v>
      </c>
      <c r="D87" s="873" t="s">
        <v>274</v>
      </c>
      <c r="E87" s="873"/>
      <c r="F87" s="873" t="s">
        <v>275</v>
      </c>
      <c r="G87" s="873"/>
      <c r="H87" s="361"/>
      <c r="I87" s="361"/>
      <c r="J87" s="173"/>
    </row>
    <row r="88" spans="1:10" customFormat="1" ht="25.9" customHeight="1" x14ac:dyDescent="0.25">
      <c r="A88" s="349" t="s">
        <v>273</v>
      </c>
      <c r="B88" s="63">
        <f>H83</f>
        <v>0</v>
      </c>
      <c r="C88" s="63"/>
      <c r="D88" s="67" t="s">
        <v>99</v>
      </c>
      <c r="E88" s="63"/>
      <c r="F88" s="67" t="s">
        <v>285</v>
      </c>
      <c r="G88" s="63"/>
      <c r="H88" s="360"/>
      <c r="I88" s="361"/>
      <c r="J88" s="173"/>
    </row>
    <row r="89" spans="1:10" customFormat="1" ht="25.9" customHeight="1" x14ac:dyDescent="0.25">
      <c r="A89" s="350" t="s">
        <v>277</v>
      </c>
      <c r="B89" s="352">
        <f>C68</f>
        <v>0</v>
      </c>
      <c r="C89" s="352"/>
      <c r="D89" s="67" t="s">
        <v>92</v>
      </c>
      <c r="E89" s="63"/>
      <c r="F89" s="67" t="s">
        <v>231</v>
      </c>
      <c r="G89" s="63"/>
      <c r="H89" s="361"/>
      <c r="I89" s="361"/>
      <c r="J89" s="173"/>
    </row>
    <row r="90" spans="1:10" customFormat="1" ht="25.9" customHeight="1" x14ac:dyDescent="0.25">
      <c r="A90" s="351" t="s">
        <v>177</v>
      </c>
      <c r="B90" s="352">
        <f>J32</f>
        <v>3102.57</v>
      </c>
      <c r="C90" s="352"/>
      <c r="D90" s="67" t="s">
        <v>230</v>
      </c>
      <c r="E90" s="63"/>
      <c r="F90" s="67" t="s">
        <v>230</v>
      </c>
      <c r="G90" s="63"/>
      <c r="H90" s="361"/>
      <c r="I90" s="361"/>
      <c r="J90" s="173"/>
    </row>
    <row r="91" spans="1:10" customFormat="1" ht="25.9" customHeight="1" x14ac:dyDescent="0.25">
      <c r="A91" s="351" t="s">
        <v>61</v>
      </c>
      <c r="B91" s="352">
        <f>+J79</f>
        <v>0</v>
      </c>
      <c r="C91" s="352"/>
      <c r="D91" s="347"/>
      <c r="E91" s="347"/>
      <c r="F91" s="347"/>
      <c r="G91" s="347"/>
      <c r="H91" s="361"/>
      <c r="I91" s="361"/>
      <c r="J91" s="173"/>
    </row>
    <row r="92" spans="1:10" customFormat="1" ht="15" customHeight="1" x14ac:dyDescent="0.25">
      <c r="A92" s="865" t="s">
        <v>58</v>
      </c>
      <c r="B92" s="865"/>
      <c r="C92" s="865"/>
      <c r="D92" s="865"/>
      <c r="E92" s="865"/>
      <c r="F92" s="23"/>
      <c r="G92" s="23"/>
      <c r="H92" s="23"/>
      <c r="I92" s="23"/>
      <c r="J92" s="23"/>
    </row>
    <row r="93" spans="1:10" s="23" customFormat="1" ht="12" customHeight="1" x14ac:dyDescent="0.25">
      <c r="A93" s="43" t="s">
        <v>62</v>
      </c>
    </row>
    <row r="94" spans="1:10" s="23" customFormat="1" ht="12" customHeight="1" x14ac:dyDescent="0.25">
      <c r="A94" s="23" t="s">
        <v>290</v>
      </c>
    </row>
    <row r="95" spans="1:10" s="23" customFormat="1" ht="12" hidden="1" customHeight="1" x14ac:dyDescent="0.25">
      <c r="A95" s="43"/>
    </row>
    <row r="96" spans="1:10" s="23" customFormat="1" ht="12" hidden="1" customHeight="1" x14ac:dyDescent="0.3">
      <c r="A96" s="234" t="s">
        <v>88</v>
      </c>
      <c r="B96" s="235"/>
      <c r="C96" s="236">
        <v>7.4999999999999997E-3</v>
      </c>
      <c r="D96" s="228">
        <f>ROUND(J32*C96,2)</f>
        <v>23.27</v>
      </c>
      <c r="E96" s="215"/>
      <c r="F96" s="237"/>
      <c r="G96" s="214"/>
      <c r="H96" s="24"/>
      <c r="I96" s="24"/>
    </row>
    <row r="97" spans="1:6" ht="30.75" hidden="1" customHeight="1" x14ac:dyDescent="0.3">
      <c r="A97" s="234" t="s">
        <v>89</v>
      </c>
      <c r="B97" s="235"/>
      <c r="C97" s="238">
        <f>(2.4-0.95)%</f>
        <v>1.4499999999999999E-2</v>
      </c>
      <c r="D97" s="228">
        <f>ROUND(C58*C97,2)</f>
        <v>0</v>
      </c>
      <c r="F97" s="233"/>
    </row>
    <row r="98" spans="1:6" ht="30.75" hidden="1" customHeight="1" x14ac:dyDescent="0.3">
      <c r="A98" s="239" t="s">
        <v>235</v>
      </c>
      <c r="B98" s="235"/>
      <c r="D98" s="215">
        <f>D96+D97</f>
        <v>23.27</v>
      </c>
      <c r="F98" s="233"/>
    </row>
    <row r="99" spans="1:6" ht="30.75" hidden="1" customHeight="1" x14ac:dyDescent="0.3">
      <c r="A99" s="234" t="s">
        <v>236</v>
      </c>
      <c r="C99" s="215"/>
      <c r="F99" s="240"/>
    </row>
    <row r="100" spans="1:6" ht="30.75" hidden="1" customHeight="1" x14ac:dyDescent="0.3">
      <c r="A100" s="234"/>
      <c r="C100" s="215"/>
      <c r="F100" s="240"/>
    </row>
    <row r="101" spans="1:6" ht="30.75" hidden="1" customHeight="1" x14ac:dyDescent="0.3">
      <c r="A101" s="234" t="s">
        <v>90</v>
      </c>
      <c r="B101" s="241"/>
      <c r="C101" s="228">
        <v>1.7000000000000001E-2</v>
      </c>
      <c r="D101" s="228">
        <f>ROUND(C62*C101,2)</f>
        <v>0</v>
      </c>
      <c r="F101" s="240"/>
    </row>
    <row r="102" spans="1:6" ht="30.75" hidden="1" customHeight="1" x14ac:dyDescent="0.3">
      <c r="A102" s="242"/>
      <c r="B102" s="243"/>
      <c r="C102" s="244"/>
      <c r="D102" s="244"/>
      <c r="E102" s="244"/>
      <c r="F102" s="245"/>
    </row>
    <row r="103" spans="1:6" ht="30.75" hidden="1" customHeight="1" x14ac:dyDescent="0.3">
      <c r="A103" s="246" t="s">
        <v>237</v>
      </c>
      <c r="B103" s="247"/>
      <c r="C103" s="248"/>
      <c r="D103" s="248"/>
      <c r="E103" s="248"/>
      <c r="F103" s="249"/>
    </row>
    <row r="104" spans="1:6" ht="30.75" hidden="1" customHeight="1" x14ac:dyDescent="0.3">
      <c r="A104" s="231"/>
      <c r="B104" s="232"/>
      <c r="C104" s="250"/>
      <c r="F104" s="251"/>
    </row>
    <row r="105" spans="1:6" ht="30.75" hidden="1" customHeight="1" x14ac:dyDescent="0.3">
      <c r="A105" s="234" t="s">
        <v>88</v>
      </c>
      <c r="B105" s="235"/>
      <c r="C105" s="236">
        <v>7.4999999999999997E-3</v>
      </c>
      <c r="D105" s="228">
        <f>ROUND(J32*C105,2)</f>
        <v>23.27</v>
      </c>
      <c r="E105" s="214"/>
      <c r="F105" s="233"/>
    </row>
    <row r="106" spans="1:6" ht="30.75" hidden="1" customHeight="1" x14ac:dyDescent="0.3">
      <c r="A106" s="234" t="s">
        <v>89</v>
      </c>
      <c r="B106" s="235"/>
      <c r="C106" s="238">
        <f>(2.4)%</f>
        <v>2.4E-2</v>
      </c>
      <c r="D106" s="228">
        <f>ROUND(C58*C106,2)</f>
        <v>0</v>
      </c>
      <c r="E106" s="252"/>
      <c r="F106" s="233"/>
    </row>
    <row r="107" spans="1:6" ht="30.75" hidden="1" customHeight="1" x14ac:dyDescent="0.3">
      <c r="A107" s="239" t="s">
        <v>238</v>
      </c>
      <c r="B107" s="235"/>
      <c r="E107" s="252"/>
      <c r="F107" s="233"/>
    </row>
    <row r="108" spans="1:6" ht="30.75" hidden="1" customHeight="1" x14ac:dyDescent="0.3">
      <c r="A108" s="234" t="s">
        <v>236</v>
      </c>
      <c r="C108" s="215"/>
      <c r="E108" s="253">
        <f>D106+D105-D110</f>
        <v>23.27</v>
      </c>
      <c r="F108" s="233"/>
    </row>
    <row r="109" spans="1:6" ht="30.75" hidden="1" customHeight="1" x14ac:dyDescent="0.3">
      <c r="A109" s="234"/>
      <c r="C109" s="215"/>
      <c r="E109" s="252"/>
      <c r="F109" s="233"/>
    </row>
    <row r="110" spans="1:6" ht="30.75" hidden="1" customHeight="1" x14ac:dyDescent="0.3">
      <c r="A110" s="234" t="s">
        <v>90</v>
      </c>
      <c r="B110" s="241"/>
      <c r="C110" s="228">
        <v>1.7000000000000001E-2</v>
      </c>
      <c r="D110" s="228">
        <f>ROUND(C62*C110,2)</f>
        <v>0</v>
      </c>
      <c r="F110" s="233"/>
    </row>
    <row r="111" spans="1:6" ht="30.75" hidden="1" customHeight="1" x14ac:dyDescent="0.3">
      <c r="A111" s="254"/>
      <c r="B111" s="255"/>
      <c r="C111" s="256"/>
      <c r="D111" s="256"/>
      <c r="E111" s="256"/>
      <c r="F111" s="257"/>
    </row>
    <row r="112" spans="1:6" ht="30.75" hidden="1" customHeight="1" x14ac:dyDescent="0.3">
      <c r="B112" s="235"/>
    </row>
    <row r="113" spans="1:18" ht="30.75" customHeight="1" x14ac:dyDescent="0.3">
      <c r="A113" s="1082" t="s">
        <v>82</v>
      </c>
      <c r="B113" s="1082"/>
      <c r="C113" s="1082"/>
      <c r="D113" s="1082"/>
      <c r="E113" s="1082"/>
    </row>
    <row r="114" spans="1:18" ht="18" customHeight="1" x14ac:dyDescent="0.3">
      <c r="A114" s="59"/>
      <c r="B114" s="559"/>
      <c r="C114" s="559"/>
      <c r="D114" s="559"/>
      <c r="E114" s="559"/>
      <c r="F114" s="179"/>
      <c r="G114" s="25"/>
      <c r="H114" s="25"/>
      <c r="I114" s="25"/>
    </row>
    <row r="115" spans="1:18" customFormat="1" ht="36" customHeight="1" x14ac:dyDescent="0.25">
      <c r="A115" s="1023" t="s">
        <v>67</v>
      </c>
      <c r="B115" s="1025"/>
      <c r="C115" s="38" t="s">
        <v>32</v>
      </c>
      <c r="D115" s="38" t="s">
        <v>276</v>
      </c>
      <c r="E115" s="38" t="s">
        <v>93</v>
      </c>
      <c r="H115" s="25"/>
      <c r="I115" s="25"/>
      <c r="J115" s="25"/>
      <c r="K115" s="27"/>
      <c r="L115" s="27"/>
      <c r="M115" s="27"/>
      <c r="N115" s="27"/>
      <c r="O115" s="27"/>
    </row>
    <row r="116" spans="1:18" customFormat="1" ht="39.6" customHeight="1" x14ac:dyDescent="0.25">
      <c r="A116" s="1052" t="s">
        <v>85</v>
      </c>
      <c r="B116" s="1052"/>
      <c r="C116" s="560">
        <f>IF(B5&lt;50,IF(J32&gt;C32,C32,J32),0)</f>
        <v>0</v>
      </c>
      <c r="D116" s="561">
        <v>1.6199999999999999E-2</v>
      </c>
      <c r="E116" s="560">
        <f t="shared" ref="E116:E125" si="2">ROUND(C116*D116,2)</f>
        <v>0</v>
      </c>
      <c r="G116" s="480"/>
      <c r="H116" s="25"/>
      <c r="I116" s="25"/>
      <c r="J116" s="25"/>
      <c r="K116" s="25"/>
      <c r="L116" s="25"/>
      <c r="M116" s="27"/>
      <c r="N116" s="27"/>
      <c r="O116" s="27"/>
      <c r="P116" s="27"/>
      <c r="Q116" s="27"/>
      <c r="R116" s="27"/>
    </row>
    <row r="117" spans="1:18" customFormat="1" ht="39.6" customHeight="1" x14ac:dyDescent="0.3">
      <c r="A117" s="1052" t="s">
        <v>86</v>
      </c>
      <c r="B117" s="1052"/>
      <c r="C117" s="560">
        <f>IF(B5&gt;=50,J32,0)</f>
        <v>3102.57</v>
      </c>
      <c r="D117" s="561">
        <v>2.0999999999999999E-3</v>
      </c>
      <c r="E117" s="560">
        <f t="shared" si="2"/>
        <v>6.52</v>
      </c>
      <c r="G117" s="481"/>
      <c r="H117" s="25"/>
      <c r="I117" s="25"/>
      <c r="J117" s="25"/>
      <c r="K117" s="25"/>
      <c r="L117" s="25"/>
      <c r="M117" s="27"/>
      <c r="N117" s="27"/>
      <c r="O117" s="27"/>
      <c r="P117" s="27"/>
      <c r="Q117" s="27"/>
      <c r="R117" s="27"/>
    </row>
    <row r="118" spans="1:18" customFormat="1" ht="39.6" customHeight="1" x14ac:dyDescent="0.25">
      <c r="A118" s="1052" t="s">
        <v>266</v>
      </c>
      <c r="B118" s="1052"/>
      <c r="C118" s="560">
        <f>IF(B5&gt;=11,J32,0)</f>
        <v>3102.57</v>
      </c>
      <c r="D118" s="561">
        <v>2.0999999999999999E-3</v>
      </c>
      <c r="E118" s="560">
        <f t="shared" si="2"/>
        <v>6.52</v>
      </c>
      <c r="G118" s="480"/>
      <c r="H118" s="25"/>
      <c r="I118" s="25"/>
      <c r="J118" s="25"/>
      <c r="K118" s="25"/>
      <c r="L118" s="25"/>
      <c r="M118" s="27"/>
      <c r="N118" s="27"/>
      <c r="O118" s="27"/>
      <c r="P118" s="27"/>
      <c r="Q118" s="27"/>
      <c r="R118" s="27"/>
    </row>
    <row r="119" spans="1:18" customFormat="1" ht="39.6" customHeight="1" x14ac:dyDescent="0.25">
      <c r="A119" s="1052" t="s">
        <v>71</v>
      </c>
      <c r="B119" s="1052"/>
      <c r="C119" s="560">
        <f>J32</f>
        <v>3102.57</v>
      </c>
      <c r="D119" s="561">
        <v>0</v>
      </c>
      <c r="E119" s="560">
        <f t="shared" si="2"/>
        <v>0</v>
      </c>
      <c r="H119" s="25"/>
      <c r="I119" s="25"/>
      <c r="J119" s="25"/>
      <c r="K119" s="25"/>
      <c r="L119" s="25"/>
      <c r="M119" s="27"/>
      <c r="N119" s="27"/>
      <c r="O119" s="27"/>
      <c r="P119" s="27"/>
      <c r="Q119" s="27"/>
      <c r="R119" s="27"/>
    </row>
    <row r="120" spans="1:18" customFormat="1" ht="39.6" customHeight="1" x14ac:dyDescent="0.25">
      <c r="A120" s="1052" t="s">
        <v>83</v>
      </c>
      <c r="B120" s="1052"/>
      <c r="C120" s="560">
        <f>IF(B8&gt;=11, IF(I5=2,I72+I41+I40,I39+I71),0)</f>
        <v>55.85</v>
      </c>
      <c r="D120" s="561">
        <v>1E-3</v>
      </c>
      <c r="E120" s="560">
        <f t="shared" si="2"/>
        <v>0.06</v>
      </c>
      <c r="H120" s="27"/>
      <c r="I120" s="27"/>
      <c r="J120" s="25"/>
      <c r="K120" s="25"/>
      <c r="L120" s="25"/>
      <c r="M120" s="27"/>
      <c r="N120" s="27"/>
      <c r="O120" s="27"/>
      <c r="P120" s="27"/>
      <c r="Q120" s="27"/>
      <c r="R120" s="27"/>
    </row>
    <row r="121" spans="1:18" customFormat="1" ht="39.6" customHeight="1" x14ac:dyDescent="0.25">
      <c r="A121" s="1052" t="s">
        <v>213</v>
      </c>
      <c r="B121" s="1052"/>
      <c r="C121" s="560">
        <f>G73</f>
        <v>0</v>
      </c>
      <c r="D121" s="561">
        <v>5.0000000000000001E-3</v>
      </c>
      <c r="E121" s="560">
        <f t="shared" si="2"/>
        <v>0</v>
      </c>
      <c r="H121" s="27"/>
      <c r="I121" s="27"/>
      <c r="J121" s="27"/>
      <c r="K121" s="27"/>
      <c r="L121" s="27"/>
      <c r="M121" s="27"/>
      <c r="N121" s="27"/>
      <c r="O121" s="27"/>
      <c r="P121" s="27"/>
      <c r="Q121" s="27"/>
      <c r="R121" s="27"/>
    </row>
    <row r="122" spans="1:18" customFormat="1" ht="39.6" customHeight="1" x14ac:dyDescent="0.25">
      <c r="A122" s="1052" t="s">
        <v>72</v>
      </c>
      <c r="B122" s="1052"/>
      <c r="C122" s="560">
        <f>+J32</f>
        <v>3102.57</v>
      </c>
      <c r="D122" s="561">
        <v>3.2000000000000001E-2</v>
      </c>
      <c r="E122" s="560">
        <f t="shared" si="2"/>
        <v>99.28</v>
      </c>
      <c r="H122" s="27"/>
      <c r="I122" s="27"/>
      <c r="J122" s="27"/>
      <c r="K122" s="27"/>
      <c r="L122" s="27"/>
      <c r="M122" s="27"/>
      <c r="N122" s="27"/>
      <c r="O122" s="27"/>
      <c r="P122" s="27"/>
      <c r="Q122" s="27"/>
      <c r="R122" s="27"/>
    </row>
    <row r="123" spans="1:18" customFormat="1" ht="39.6" customHeight="1" x14ac:dyDescent="0.25">
      <c r="A123" s="1052" t="s">
        <v>652</v>
      </c>
      <c r="B123" s="1052"/>
      <c r="C123" s="560">
        <f>IF(B5&gt;=11,J32,0)</f>
        <v>3102.57</v>
      </c>
      <c r="D123" s="561">
        <v>3.0000000000000001E-3</v>
      </c>
      <c r="E123" s="560">
        <f t="shared" si="2"/>
        <v>9.31</v>
      </c>
      <c r="H123" s="27"/>
      <c r="I123" s="27"/>
      <c r="J123" s="27"/>
      <c r="K123" s="27"/>
      <c r="L123" s="27"/>
      <c r="M123" s="27"/>
      <c r="N123" s="27"/>
      <c r="O123" s="27"/>
      <c r="P123" s="27"/>
      <c r="Q123" s="27"/>
      <c r="R123" s="27"/>
    </row>
    <row r="124" spans="1:18" customFormat="1" ht="39.6" customHeight="1" x14ac:dyDescent="0.25">
      <c r="A124" s="1052" t="s">
        <v>653</v>
      </c>
      <c r="B124" s="1052"/>
      <c r="C124" s="560">
        <f>IF(B5&lt;11,J32,0)</f>
        <v>0</v>
      </c>
      <c r="D124" s="561">
        <v>0.08</v>
      </c>
      <c r="E124" s="560">
        <f t="shared" si="2"/>
        <v>0</v>
      </c>
      <c r="H124" s="27"/>
      <c r="I124" s="27"/>
      <c r="J124" s="27"/>
      <c r="K124" s="27"/>
      <c r="L124" s="27"/>
      <c r="M124" s="27"/>
      <c r="N124" s="27"/>
      <c r="O124" s="27"/>
      <c r="P124" s="27"/>
      <c r="Q124" s="27"/>
      <c r="R124" s="27"/>
    </row>
    <row r="125" spans="1:18" customFormat="1" ht="39.6" customHeight="1" x14ac:dyDescent="0.25">
      <c r="A125" s="1052" t="s">
        <v>77</v>
      </c>
      <c r="B125" s="1052"/>
      <c r="C125" s="560">
        <f>IF(B5&lt;50,0,J32)</f>
        <v>3102.57</v>
      </c>
      <c r="D125" s="561">
        <f>'TABLE DES TAUX 2026 '!D32</f>
        <v>1.6000000000000001E-4</v>
      </c>
      <c r="E125" s="560">
        <f t="shared" si="2"/>
        <v>0.5</v>
      </c>
      <c r="H125" s="27"/>
      <c r="I125" s="27"/>
      <c r="J125" s="27"/>
      <c r="K125" s="27"/>
      <c r="L125" s="27"/>
      <c r="M125" s="27"/>
      <c r="N125" s="27"/>
      <c r="O125" s="27"/>
      <c r="P125" s="27"/>
      <c r="Q125" s="27"/>
      <c r="R125" s="27"/>
    </row>
    <row r="126" spans="1:18" customFormat="1" ht="33.6" customHeight="1" x14ac:dyDescent="0.25">
      <c r="A126" s="27"/>
      <c r="B126" s="27"/>
      <c r="D126" s="27"/>
      <c r="E126" s="560">
        <f>SUM(E116:E125)</f>
        <v>122.19</v>
      </c>
      <c r="G126" s="27"/>
      <c r="H126" s="27"/>
      <c r="I126" s="27"/>
      <c r="J126" s="27"/>
      <c r="K126" s="27"/>
      <c r="L126" s="27"/>
      <c r="M126" s="27"/>
      <c r="N126" s="27"/>
      <c r="O126" s="27"/>
    </row>
    <row r="127" spans="1:18" customFormat="1" x14ac:dyDescent="0.3">
      <c r="A127" s="217"/>
      <c r="B127" s="217"/>
      <c r="C127" s="214"/>
      <c r="D127" s="215"/>
      <c r="E127" s="215"/>
      <c r="F127" s="214"/>
      <c r="G127" s="214"/>
      <c r="H127" s="24"/>
      <c r="I127" s="24"/>
      <c r="J127" s="27"/>
      <c r="K127" s="27"/>
      <c r="L127" s="27"/>
      <c r="M127" s="27"/>
      <c r="N127" s="27"/>
      <c r="O127" s="27"/>
    </row>
  </sheetData>
  <mergeCells count="251">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K48:L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29:F29"/>
    <mergeCell ref="A30:F30"/>
    <mergeCell ref="A31:F31"/>
    <mergeCell ref="A32:B32"/>
    <mergeCell ref="D32:I32"/>
    <mergeCell ref="A33:J33"/>
    <mergeCell ref="A23:F23"/>
    <mergeCell ref="A24:F24"/>
    <mergeCell ref="A25:F25"/>
    <mergeCell ref="A26:F26"/>
    <mergeCell ref="A27:F27"/>
    <mergeCell ref="A28:F28"/>
    <mergeCell ref="A18:F18"/>
    <mergeCell ref="A19:F19"/>
    <mergeCell ref="A20:F20"/>
    <mergeCell ref="A21:F21"/>
    <mergeCell ref="A22:F22"/>
    <mergeCell ref="A11:J11"/>
    <mergeCell ref="A12:F12"/>
    <mergeCell ref="A13:F13"/>
    <mergeCell ref="A14:F14"/>
    <mergeCell ref="A15:F15"/>
    <mergeCell ref="A16:F16"/>
    <mergeCell ref="F9:G9"/>
    <mergeCell ref="B10:D10"/>
    <mergeCell ref="B4:D4"/>
    <mergeCell ref="G4:J4"/>
    <mergeCell ref="B5:D5"/>
    <mergeCell ref="G5:J5"/>
    <mergeCell ref="B6:D6"/>
    <mergeCell ref="G6:J6"/>
    <mergeCell ref="A17:F17"/>
    <mergeCell ref="A1:D1"/>
    <mergeCell ref="F1:J1"/>
    <mergeCell ref="B2:D2"/>
    <mergeCell ref="G2:J2"/>
    <mergeCell ref="B3:D3"/>
    <mergeCell ref="G3:J3"/>
    <mergeCell ref="B7:D7"/>
    <mergeCell ref="G7:J7"/>
    <mergeCell ref="C8:D8"/>
    <mergeCell ref="F8:G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83" t="s">
        <v>643</v>
      </c>
      <c r="C1" s="1083"/>
      <c r="D1" s="1083"/>
      <c r="E1" s="1083"/>
      <c r="F1" s="1083"/>
      <c r="G1" s="1083"/>
      <c r="H1" s="1083"/>
    </row>
    <row r="2" spans="2:11" ht="14.25" customHeight="1" x14ac:dyDescent="0.25"/>
    <row r="3" spans="2:11" ht="14.25" customHeight="1" x14ac:dyDescent="0.25"/>
    <row r="5" spans="2:11" ht="14.25" customHeight="1" x14ac:dyDescent="0.25">
      <c r="G5" s="181" t="s">
        <v>641</v>
      </c>
      <c r="K5" s="499">
        <v>45778</v>
      </c>
    </row>
    <row r="6" spans="2:11" ht="14.25" customHeight="1" x14ac:dyDescent="0.25">
      <c r="B6" s="38" t="s">
        <v>96</v>
      </c>
      <c r="C6" s="38" t="s">
        <v>97</v>
      </c>
      <c r="D6" s="38" t="s">
        <v>98</v>
      </c>
      <c r="E6" s="38"/>
      <c r="G6" s="181" t="s">
        <v>642</v>
      </c>
      <c r="K6" s="184"/>
    </row>
    <row r="7" spans="2:11" ht="14.25" customHeight="1" x14ac:dyDescent="0.25">
      <c r="B7" s="458">
        <v>0</v>
      </c>
      <c r="C7" s="458">
        <f>IF('BP FORMAT JUILLET 2023'!$H$10&lt;$K$5,'TAUX NEUTRE JANVIER  '!C7,'TAUX NEUTRE MAI '!C7)</f>
        <v>1620</v>
      </c>
      <c r="D7" s="458">
        <v>0</v>
      </c>
      <c r="E7" s="459">
        <f t="shared" ref="E7:E26" si="0" xml:space="preserve"> IF($H$11&gt;=B7,IF($H$11&lt;C7,D7,0),0)</f>
        <v>0</v>
      </c>
    </row>
    <row r="8" spans="2:11" ht="14.25" customHeight="1" x14ac:dyDescent="0.25">
      <c r="B8" s="458">
        <f>C7</f>
        <v>1620</v>
      </c>
      <c r="C8" s="458">
        <f>IF('BP FORMAT JUILLET 2023'!$H$10&lt;$K$5,'TAUX NEUTRE JANVIER  '!C8,'TAUX NEUTRE MAI '!C8)</f>
        <v>1683</v>
      </c>
      <c r="D8" s="412">
        <v>5.0000000000000001E-3</v>
      </c>
      <c r="E8" s="412">
        <f t="shared" si="0"/>
        <v>0</v>
      </c>
    </row>
    <row r="9" spans="2:11" ht="14.25" customHeight="1" x14ac:dyDescent="0.25">
      <c r="B9" s="458">
        <f t="shared" ref="B9:B26" si="1">C8</f>
        <v>1683</v>
      </c>
      <c r="C9" s="458">
        <f>IF('BP FORMAT JUILLET 2023'!$H$10&lt;$K$5,'TAUX NEUTRE JANVIER  '!C9,'TAUX NEUTRE MAI '!C9)</f>
        <v>1791</v>
      </c>
      <c r="D9" s="412">
        <v>1.2999999999999999E-2</v>
      </c>
      <c r="E9" s="412">
        <f t="shared" si="0"/>
        <v>0</v>
      </c>
    </row>
    <row r="10" spans="2:11" ht="14.25" customHeight="1" x14ac:dyDescent="0.25">
      <c r="B10" s="458">
        <f t="shared" si="1"/>
        <v>1791</v>
      </c>
      <c r="C10" s="458">
        <f>IF('BP FORMAT JUILLET 2023'!$H$10&lt;$K$5,'TAUX NEUTRE JANVIER  '!C10,'TAUX NEUTRE MAI '!C10)</f>
        <v>1911</v>
      </c>
      <c r="D10" s="412">
        <v>2.1000000000000001E-2</v>
      </c>
      <c r="E10" s="412">
        <f t="shared" si="0"/>
        <v>0</v>
      </c>
      <c r="G10" s="1010" t="s">
        <v>194</v>
      </c>
      <c r="H10" s="1010"/>
    </row>
    <row r="11" spans="2:11" ht="14.25" customHeight="1" x14ac:dyDescent="0.25">
      <c r="B11" s="458">
        <f t="shared" si="1"/>
        <v>1911</v>
      </c>
      <c r="C11" s="458">
        <f>IF('BP FORMAT JUILLET 2023'!$H$10&lt;$K$5,'TAUX NEUTRE JANVIER  '!C11,'TAUX NEUTRE MAI '!C11)</f>
        <v>2042</v>
      </c>
      <c r="D11" s="412">
        <v>2.9000000000000001E-2</v>
      </c>
      <c r="E11" s="412">
        <f t="shared" si="0"/>
        <v>2.9000000000000001E-2</v>
      </c>
      <c r="G11" s="189" t="s">
        <v>94</v>
      </c>
      <c r="H11" s="190">
        <f>'BP FORMAT JUILLET 2023'!D88</f>
        <v>1991.181818181818</v>
      </c>
    </row>
    <row r="12" spans="2:11" ht="14.25" customHeight="1" x14ac:dyDescent="0.25">
      <c r="B12" s="458">
        <f t="shared" si="1"/>
        <v>2042</v>
      </c>
      <c r="C12" s="458">
        <f>IF('BP FORMAT JUILLET 2023'!$H$10&lt;$K$5,'TAUX NEUTRE JANVIER  '!C12,'TAUX NEUTRE MAI '!C12)</f>
        <v>2151</v>
      </c>
      <c r="D12" s="412">
        <v>3.5000000000000003E-2</v>
      </c>
      <c r="E12" s="412">
        <f t="shared" si="0"/>
        <v>0</v>
      </c>
      <c r="G12" s="189" t="s">
        <v>95</v>
      </c>
      <c r="H12" s="191">
        <f>E27</f>
        <v>2.9000000000000001E-2</v>
      </c>
    </row>
    <row r="13" spans="2:11" ht="14.25" customHeight="1" x14ac:dyDescent="0.25">
      <c r="B13" s="458">
        <f t="shared" si="1"/>
        <v>2151</v>
      </c>
      <c r="C13" s="458">
        <f>IF('BP FORMAT JUILLET 2023'!$H$10&lt;$K$5,'TAUX NEUTRE JANVIER  '!C13,'TAUX NEUTRE MAI '!C13)</f>
        <v>2294</v>
      </c>
      <c r="D13" s="412">
        <v>4.1000000000000002E-2</v>
      </c>
      <c r="E13" s="412">
        <f t="shared" si="0"/>
        <v>0</v>
      </c>
    </row>
    <row r="14" spans="2:11" ht="14.25" customHeight="1" x14ac:dyDescent="0.25">
      <c r="B14" s="458">
        <f t="shared" si="1"/>
        <v>2294</v>
      </c>
      <c r="C14" s="458">
        <f>IF('BP FORMAT JUILLET 2023'!$H$10&lt;$K$5,'TAUX NEUTRE JANVIER  '!C14,'TAUX NEUTRE MAI '!C14)</f>
        <v>2714</v>
      </c>
      <c r="D14" s="412">
        <v>5.2999999999999999E-2</v>
      </c>
      <c r="E14" s="412">
        <f t="shared" si="0"/>
        <v>0</v>
      </c>
    </row>
    <row r="15" spans="2:11" ht="14.25" customHeight="1" x14ac:dyDescent="0.25">
      <c r="B15" s="458">
        <f t="shared" si="1"/>
        <v>2714</v>
      </c>
      <c r="C15" s="458">
        <f>IF('BP FORMAT JUILLET 2023'!$H$10&lt;$K$5,'TAUX NEUTRE JANVIER  '!C15,'TAUX NEUTRE MAI '!C15)</f>
        <v>3107</v>
      </c>
      <c r="D15" s="412">
        <v>7.4999999999999997E-2</v>
      </c>
      <c r="E15" s="412">
        <f t="shared" si="0"/>
        <v>0</v>
      </c>
    </row>
    <row r="16" spans="2:11" ht="14.25" customHeight="1" x14ac:dyDescent="0.25">
      <c r="B16" s="458">
        <f t="shared" si="1"/>
        <v>3107</v>
      </c>
      <c r="C16" s="458">
        <f>IF('BP FORMAT JUILLET 2023'!$H$10&lt;$K$5,'TAUX NEUTRE JANVIER  '!C16,'TAUX NEUTRE MAI '!C16)</f>
        <v>3539</v>
      </c>
      <c r="D16" s="412">
        <v>9.9000000000000005E-2</v>
      </c>
      <c r="E16" s="412">
        <f t="shared" si="0"/>
        <v>0</v>
      </c>
    </row>
    <row r="17" spans="2:11" ht="14.25" customHeight="1" x14ac:dyDescent="0.25">
      <c r="B17" s="458">
        <f t="shared" si="1"/>
        <v>3539</v>
      </c>
      <c r="C17" s="458">
        <f>IF('BP FORMAT JUILLET 2023'!$H$10&lt;$K$5,'TAUX NEUTRE JANVIER  '!C17,'TAUX NEUTRE MAI '!C17)</f>
        <v>3983</v>
      </c>
      <c r="D17" s="412">
        <v>0.11899999999999999</v>
      </c>
      <c r="E17" s="412">
        <f t="shared" si="0"/>
        <v>0</v>
      </c>
    </row>
    <row r="18" spans="2:11" ht="14.25" customHeight="1" x14ac:dyDescent="0.25">
      <c r="B18" s="458">
        <f t="shared" si="1"/>
        <v>3983</v>
      </c>
      <c r="C18" s="458">
        <f>IF('BP FORMAT JUILLET 2023'!$H$10&lt;$K$5,'TAUX NEUTRE JANVIER  '!C18,'TAUX NEUTRE MAI '!C18)</f>
        <v>4648</v>
      </c>
      <c r="D18" s="412">
        <v>0.13800000000000001</v>
      </c>
      <c r="E18" s="412">
        <f t="shared" si="0"/>
        <v>0</v>
      </c>
    </row>
    <row r="19" spans="2:11" ht="14.25" customHeight="1" x14ac:dyDescent="0.25">
      <c r="B19" s="458">
        <f t="shared" si="1"/>
        <v>4648</v>
      </c>
      <c r="C19" s="458">
        <f>IF('BP FORMAT JUILLET 2023'!$H$10&lt;$K$5,'TAUX NEUTRE JANVIER  '!C19,'TAUX NEUTRE MAI '!C19)</f>
        <v>5574</v>
      </c>
      <c r="D19" s="412">
        <v>0.158</v>
      </c>
      <c r="E19" s="412">
        <f t="shared" si="0"/>
        <v>0</v>
      </c>
    </row>
    <row r="20" spans="2:11" ht="14.25" customHeight="1" x14ac:dyDescent="0.25">
      <c r="B20" s="458">
        <f t="shared" si="1"/>
        <v>5574</v>
      </c>
      <c r="C20" s="458">
        <f>IF('BP FORMAT JUILLET 2023'!$H$10&lt;$K$5,'TAUX NEUTRE JANVIER  '!C20,'TAUX NEUTRE MAI '!C20)</f>
        <v>6974</v>
      </c>
      <c r="D20" s="412">
        <v>0.17899999999999999</v>
      </c>
      <c r="E20" s="412">
        <f t="shared" si="0"/>
        <v>0</v>
      </c>
    </row>
    <row r="21" spans="2:11" ht="14.25" customHeight="1" x14ac:dyDescent="0.25">
      <c r="B21" s="458">
        <f t="shared" si="1"/>
        <v>6974</v>
      </c>
      <c r="C21" s="458">
        <f>IF('BP FORMAT JUILLET 2023'!$H$10&lt;$K$5,'TAUX NEUTRE JANVIER  '!C21,'TAUX NEUTRE MAI '!C21)</f>
        <v>8711</v>
      </c>
      <c r="D21" s="412">
        <v>0.2</v>
      </c>
      <c r="E21" s="412">
        <f t="shared" si="0"/>
        <v>0</v>
      </c>
    </row>
    <row r="22" spans="2:11" ht="14.25" customHeight="1" x14ac:dyDescent="0.25">
      <c r="B22" s="458">
        <f t="shared" si="1"/>
        <v>8711</v>
      </c>
      <c r="C22" s="458">
        <f>IF('BP FORMAT JUILLET 2023'!$H$10&lt;$K$5,'TAUX NEUTRE JANVIER  '!C22,'TAUX NEUTRE MAI '!C22)</f>
        <v>12091</v>
      </c>
      <c r="D22" s="412">
        <v>0.24</v>
      </c>
      <c r="E22" s="412">
        <f t="shared" si="0"/>
        <v>0</v>
      </c>
    </row>
    <row r="23" spans="2:11" ht="14.25" customHeight="1" x14ac:dyDescent="0.25">
      <c r="B23" s="458">
        <f t="shared" si="1"/>
        <v>12091</v>
      </c>
      <c r="C23" s="458">
        <f>IF('BP FORMAT JUILLET 2023'!$H$10&lt;$K$5,'TAUX NEUTRE JANVIER  '!C23,'TAUX NEUTRE MAI '!C23)</f>
        <v>16376</v>
      </c>
      <c r="D23" s="412">
        <v>0.28000000000000003</v>
      </c>
      <c r="E23" s="412">
        <f t="shared" si="0"/>
        <v>0</v>
      </c>
    </row>
    <row r="24" spans="2:11" ht="14.25" customHeight="1" x14ac:dyDescent="0.25">
      <c r="B24" s="458">
        <f t="shared" si="1"/>
        <v>16376</v>
      </c>
      <c r="C24" s="458">
        <f>IF('BP FORMAT JUILLET 2023'!$H$10&lt;$K$5,'TAUX NEUTRE JANVIER  '!C24,'TAUX NEUTRE MAI '!C24)</f>
        <v>25706</v>
      </c>
      <c r="D24" s="412">
        <v>0.33</v>
      </c>
      <c r="E24" s="412">
        <f t="shared" si="0"/>
        <v>0</v>
      </c>
    </row>
    <row r="25" spans="2:11" ht="14.25" customHeight="1" x14ac:dyDescent="0.25">
      <c r="B25" s="458">
        <f t="shared" si="1"/>
        <v>25706</v>
      </c>
      <c r="C25" s="458">
        <f>IF('BP FORMAT JUILLET 2023'!$H$10&lt;$K$5,'TAUX NEUTRE JANVIER  '!C25,'TAUX NEUTRE MAI '!C25)</f>
        <v>55062</v>
      </c>
      <c r="D25" s="412">
        <v>0.38</v>
      </c>
      <c r="E25" s="412">
        <f t="shared" si="0"/>
        <v>0</v>
      </c>
    </row>
    <row r="26" spans="2:11" ht="14.25" customHeight="1" x14ac:dyDescent="0.25">
      <c r="B26" s="458">
        <f t="shared" si="1"/>
        <v>55062</v>
      </c>
      <c r="C26" s="458">
        <f>IF('BP FORMAT JUILLET 2023'!$H$10&lt;$K$5,'TAUX NEUTRE JANVIER  '!C26,'TAUX NEUTRE MAI '!C26)</f>
        <v>0</v>
      </c>
      <c r="D26" s="412">
        <v>0.43</v>
      </c>
      <c r="E26" s="412">
        <f t="shared" si="0"/>
        <v>0</v>
      </c>
    </row>
    <row r="27" spans="2:11" ht="14.25" customHeight="1" x14ac:dyDescent="0.25">
      <c r="B27" s="183"/>
      <c r="E27" s="188">
        <f>SUM(E7:E26)</f>
        <v>2.9000000000000001E-2</v>
      </c>
    </row>
    <row r="28" spans="2:11" ht="18" customHeight="1" x14ac:dyDescent="0.25"/>
    <row r="29" spans="2:11" ht="14.25" hidden="1" customHeight="1" x14ac:dyDescent="0.25">
      <c r="J29" s="1084"/>
      <c r="K29" s="1084"/>
    </row>
    <row r="30" spans="2:11" ht="14.25" hidden="1" customHeight="1" x14ac:dyDescent="0.25">
      <c r="B30" s="38" t="s">
        <v>96</v>
      </c>
      <c r="C30" s="38" t="s">
        <v>97</v>
      </c>
      <c r="D30" s="38" t="s">
        <v>98</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195</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85" t="s">
        <v>423</v>
      </c>
      <c r="C1" s="1085"/>
      <c r="D1" s="1085"/>
      <c r="E1" s="1085"/>
      <c r="F1" s="1085"/>
      <c r="G1" s="1085"/>
      <c r="H1" s="1085"/>
    </row>
    <row r="2" spans="2:11" ht="14.25" customHeight="1" x14ac:dyDescent="0.25"/>
    <row r="3" spans="2:11" ht="14.25" customHeight="1" x14ac:dyDescent="0.25"/>
    <row r="5" spans="2:11" ht="14.25" customHeight="1" x14ac:dyDescent="0.25"/>
    <row r="6" spans="2:11" ht="14.25" customHeight="1" x14ac:dyDescent="0.25">
      <c r="B6" s="38" t="s">
        <v>96</v>
      </c>
      <c r="C6" s="38" t="s">
        <v>97</v>
      </c>
      <c r="D6" s="38" t="s">
        <v>98</v>
      </c>
      <c r="E6" s="38"/>
      <c r="J6" s="183"/>
      <c r="K6" s="184"/>
    </row>
    <row r="7" spans="2:11" ht="14.25" customHeight="1" x14ac:dyDescent="0.25">
      <c r="B7" s="458">
        <v>0</v>
      </c>
      <c r="C7" s="458">
        <v>1591</v>
      </c>
      <c r="D7" s="458">
        <v>0</v>
      </c>
      <c r="E7" s="459">
        <f t="shared" ref="E7:E26" si="0" xml:space="preserve"> IF($H$11&gt;=B7,IF($H$11&lt;C7,D7,0),0)</f>
        <v>0</v>
      </c>
    </row>
    <row r="8" spans="2:11" ht="14.25" customHeight="1" x14ac:dyDescent="0.25">
      <c r="B8" s="458">
        <f>C7</f>
        <v>1591</v>
      </c>
      <c r="C8" s="458">
        <v>1653</v>
      </c>
      <c r="D8" s="412">
        <v>5.0000000000000001E-3</v>
      </c>
      <c r="E8" s="412">
        <f t="shared" si="0"/>
        <v>0</v>
      </c>
    </row>
    <row r="9" spans="2:11" ht="14.25" customHeight="1" x14ac:dyDescent="0.25">
      <c r="B9" s="458">
        <f t="shared" ref="B9:B26" si="1">C8</f>
        <v>1653</v>
      </c>
      <c r="C9" s="458">
        <v>1759</v>
      </c>
      <c r="D9" s="412">
        <v>1.2999999999999999E-2</v>
      </c>
      <c r="E9" s="412">
        <f t="shared" si="0"/>
        <v>0</v>
      </c>
    </row>
    <row r="10" spans="2:11" ht="14.25" customHeight="1" x14ac:dyDescent="0.25">
      <c r="B10" s="458">
        <f t="shared" si="1"/>
        <v>1759</v>
      </c>
      <c r="C10" s="458">
        <v>1877</v>
      </c>
      <c r="D10" s="412">
        <v>2.1000000000000001E-2</v>
      </c>
      <c r="E10" s="412">
        <f t="shared" si="0"/>
        <v>0</v>
      </c>
      <c r="G10" s="1010" t="s">
        <v>194</v>
      </c>
      <c r="H10" s="1010"/>
    </row>
    <row r="11" spans="2:11" ht="14.25" customHeight="1" x14ac:dyDescent="0.25">
      <c r="B11" s="458">
        <f t="shared" si="1"/>
        <v>1877</v>
      </c>
      <c r="C11" s="458">
        <v>2006</v>
      </c>
      <c r="D11" s="412">
        <v>2.9000000000000001E-2</v>
      </c>
      <c r="E11" s="412">
        <f t="shared" si="0"/>
        <v>0</v>
      </c>
      <c r="G11" s="189" t="s">
        <v>94</v>
      </c>
      <c r="H11" s="190">
        <v>3000</v>
      </c>
    </row>
    <row r="12" spans="2:11" ht="14.25" customHeight="1" x14ac:dyDescent="0.25">
      <c r="B12" s="458">
        <f t="shared" si="1"/>
        <v>2006</v>
      </c>
      <c r="C12" s="458">
        <v>2113</v>
      </c>
      <c r="D12" s="412">
        <v>3.5000000000000003E-2</v>
      </c>
      <c r="E12" s="412">
        <f t="shared" si="0"/>
        <v>0</v>
      </c>
      <c r="G12" s="189" t="s">
        <v>95</v>
      </c>
      <c r="H12" s="191">
        <f>E27</f>
        <v>7.4999999999999997E-2</v>
      </c>
    </row>
    <row r="13" spans="2:11" ht="14.25" customHeight="1" x14ac:dyDescent="0.25">
      <c r="B13" s="458">
        <f t="shared" si="1"/>
        <v>2113</v>
      </c>
      <c r="C13" s="458">
        <v>2253</v>
      </c>
      <c r="D13" s="412">
        <v>4.1000000000000002E-2</v>
      </c>
      <c r="E13" s="412">
        <f t="shared" si="0"/>
        <v>0</v>
      </c>
    </row>
    <row r="14" spans="2:11" ht="14.25" customHeight="1" x14ac:dyDescent="0.25">
      <c r="B14" s="458">
        <f t="shared" si="1"/>
        <v>2253</v>
      </c>
      <c r="C14" s="458">
        <v>2666</v>
      </c>
      <c r="D14" s="412">
        <v>5.2999999999999999E-2</v>
      </c>
      <c r="E14" s="412">
        <f t="shared" si="0"/>
        <v>0</v>
      </c>
    </row>
    <row r="15" spans="2:11" ht="14.25" customHeight="1" x14ac:dyDescent="0.25">
      <c r="B15" s="458">
        <f t="shared" si="1"/>
        <v>2666</v>
      </c>
      <c r="C15" s="458">
        <v>3052</v>
      </c>
      <c r="D15" s="412">
        <v>7.4999999999999997E-2</v>
      </c>
      <c r="E15" s="412">
        <f t="shared" si="0"/>
        <v>7.4999999999999997E-2</v>
      </c>
    </row>
    <row r="16" spans="2:11" ht="14.25" customHeight="1" x14ac:dyDescent="0.25">
      <c r="B16" s="458">
        <f t="shared" si="1"/>
        <v>3052</v>
      </c>
      <c r="C16" s="458">
        <v>3476</v>
      </c>
      <c r="D16" s="412">
        <v>9.9000000000000005E-2</v>
      </c>
      <c r="E16" s="412">
        <f t="shared" si="0"/>
        <v>0</v>
      </c>
    </row>
    <row r="17" spans="2:11" ht="14.25" customHeight="1" x14ac:dyDescent="0.25">
      <c r="B17" s="458">
        <f t="shared" si="1"/>
        <v>3476</v>
      </c>
      <c r="C17" s="458">
        <v>3913</v>
      </c>
      <c r="D17" s="412">
        <v>0.11899999999999999</v>
      </c>
      <c r="E17" s="412">
        <f t="shared" si="0"/>
        <v>0</v>
      </c>
    </row>
    <row r="18" spans="2:11" ht="14.25" customHeight="1" x14ac:dyDescent="0.25">
      <c r="B18" s="458">
        <f t="shared" si="1"/>
        <v>3913</v>
      </c>
      <c r="C18" s="458">
        <v>4566</v>
      </c>
      <c r="D18" s="412">
        <v>0.13800000000000001</v>
      </c>
      <c r="E18" s="412">
        <f t="shared" si="0"/>
        <v>0</v>
      </c>
    </row>
    <row r="19" spans="2:11" ht="14.25" customHeight="1" x14ac:dyDescent="0.25">
      <c r="B19" s="458">
        <f t="shared" si="1"/>
        <v>4566</v>
      </c>
      <c r="C19" s="458">
        <v>5475</v>
      </c>
      <c r="D19" s="412">
        <v>0.158</v>
      </c>
      <c r="E19" s="412">
        <f t="shared" si="0"/>
        <v>0</v>
      </c>
    </row>
    <row r="20" spans="2:11" ht="14.25" customHeight="1" x14ac:dyDescent="0.25">
      <c r="B20" s="458">
        <f t="shared" si="1"/>
        <v>5475</v>
      </c>
      <c r="C20" s="458">
        <v>6851</v>
      </c>
      <c r="D20" s="412">
        <v>0.17899999999999999</v>
      </c>
      <c r="E20" s="412">
        <f t="shared" si="0"/>
        <v>0</v>
      </c>
    </row>
    <row r="21" spans="2:11" ht="14.25" customHeight="1" x14ac:dyDescent="0.25">
      <c r="B21" s="458">
        <f t="shared" si="1"/>
        <v>6851</v>
      </c>
      <c r="C21" s="458">
        <v>8557</v>
      </c>
      <c r="D21" s="412">
        <v>0.2</v>
      </c>
      <c r="E21" s="412">
        <f t="shared" si="0"/>
        <v>0</v>
      </c>
    </row>
    <row r="22" spans="2:11" ht="14.25" customHeight="1" x14ac:dyDescent="0.25">
      <c r="B22" s="458">
        <f t="shared" si="1"/>
        <v>8557</v>
      </c>
      <c r="C22" s="458">
        <v>11877</v>
      </c>
      <c r="D22" s="412">
        <v>0.24</v>
      </c>
      <c r="E22" s="412">
        <f t="shared" si="0"/>
        <v>0</v>
      </c>
    </row>
    <row r="23" spans="2:11" ht="14.25" customHeight="1" x14ac:dyDescent="0.25">
      <c r="B23" s="458">
        <f t="shared" si="1"/>
        <v>11877</v>
      </c>
      <c r="C23" s="458">
        <v>16086</v>
      </c>
      <c r="D23" s="412">
        <v>0.28000000000000003</v>
      </c>
      <c r="E23" s="412">
        <f t="shared" si="0"/>
        <v>0</v>
      </c>
    </row>
    <row r="24" spans="2:11" ht="14.25" customHeight="1" x14ac:dyDescent="0.25">
      <c r="B24" s="458">
        <f t="shared" si="1"/>
        <v>16086</v>
      </c>
      <c r="C24" s="458">
        <v>25251</v>
      </c>
      <c r="D24" s="412">
        <v>0.33</v>
      </c>
      <c r="E24" s="412">
        <f t="shared" si="0"/>
        <v>0</v>
      </c>
    </row>
    <row r="25" spans="2:11" ht="14.25" customHeight="1" x14ac:dyDescent="0.25">
      <c r="B25" s="458">
        <f t="shared" si="1"/>
        <v>25251</v>
      </c>
      <c r="C25" s="458">
        <v>54088</v>
      </c>
      <c r="D25" s="412">
        <v>0.38</v>
      </c>
      <c r="E25" s="412">
        <f t="shared" si="0"/>
        <v>0</v>
      </c>
    </row>
    <row r="26" spans="2:11" ht="14.25" customHeight="1" x14ac:dyDescent="0.25">
      <c r="B26" s="458">
        <f t="shared" si="1"/>
        <v>54088</v>
      </c>
      <c r="C26" s="458">
        <v>99999999999</v>
      </c>
      <c r="D26" s="412">
        <v>0.43</v>
      </c>
      <c r="E26" s="412">
        <f t="shared" si="0"/>
        <v>0</v>
      </c>
    </row>
    <row r="27" spans="2:11" ht="14.25" customHeight="1" x14ac:dyDescent="0.25">
      <c r="B27" s="183"/>
      <c r="E27" s="188">
        <f>SUM(E7:E26)</f>
        <v>7.4999999999999997E-2</v>
      </c>
    </row>
    <row r="28" spans="2:11" ht="18" customHeight="1" x14ac:dyDescent="0.25"/>
    <row r="29" spans="2:11" ht="14.25" hidden="1" customHeight="1" x14ac:dyDescent="0.25">
      <c r="J29" s="1084"/>
      <c r="K29" s="1084"/>
    </row>
    <row r="30" spans="2:11" ht="14.25" hidden="1" customHeight="1" x14ac:dyDescent="0.25">
      <c r="B30" s="38" t="s">
        <v>96</v>
      </c>
      <c r="C30" s="38" t="s">
        <v>97</v>
      </c>
      <c r="D30" s="38" t="s">
        <v>98</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195</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3" zoomScale="115" zoomScaleNormal="115" workbookViewId="0">
      <selection activeCell="M37" sqref="M37"/>
    </sheetView>
  </sheetViews>
  <sheetFormatPr baseColWidth="10" defaultColWidth="11.42578125" defaultRowHeight="15.75" x14ac:dyDescent="0.25"/>
  <cols>
    <col min="1" max="16384" width="11.42578125" style="181"/>
  </cols>
  <sheetData>
    <row r="3" spans="2:7" x14ac:dyDescent="0.25">
      <c r="B3" s="181" t="s">
        <v>577</v>
      </c>
    </row>
    <row r="5" spans="2:7" x14ac:dyDescent="0.25">
      <c r="C5" s="181" t="s">
        <v>578</v>
      </c>
      <c r="G5" s="181" t="s">
        <v>731</v>
      </c>
    </row>
    <row r="6" spans="2:7" x14ac:dyDescent="0.25">
      <c r="C6" s="181" t="s">
        <v>579</v>
      </c>
    </row>
    <row r="8" spans="2:7" x14ac:dyDescent="0.25">
      <c r="B8" s="181" t="s">
        <v>580</v>
      </c>
    </row>
    <row r="9" spans="2:7" x14ac:dyDescent="0.25">
      <c r="B9" s="181" t="s">
        <v>637</v>
      </c>
    </row>
    <row r="11" spans="2:7" x14ac:dyDescent="0.25">
      <c r="C11" s="181" t="s">
        <v>581</v>
      </c>
    </row>
    <row r="13" spans="2:7" x14ac:dyDescent="0.25">
      <c r="D13" s="181" t="s">
        <v>741</v>
      </c>
    </row>
    <row r="14" spans="2:7" x14ac:dyDescent="0.25">
      <c r="D14" s="181" t="s">
        <v>429</v>
      </c>
    </row>
    <row r="15" spans="2:7" x14ac:dyDescent="0.25">
      <c r="D15" s="181" t="s">
        <v>582</v>
      </c>
    </row>
    <row r="16" spans="2:7" x14ac:dyDescent="0.25">
      <c r="D16" s="181" t="s">
        <v>583</v>
      </c>
    </row>
    <row r="17" spans="2:7" x14ac:dyDescent="0.25">
      <c r="D17" s="181" t="s">
        <v>584</v>
      </c>
      <c r="G17" s="181" t="s">
        <v>585</v>
      </c>
    </row>
    <row r="18" spans="2:7" x14ac:dyDescent="0.25">
      <c r="D18" s="181" t="s">
        <v>438</v>
      </c>
      <c r="G18" s="181" t="s">
        <v>694</v>
      </c>
    </row>
    <row r="19" spans="2:7" x14ac:dyDescent="0.25">
      <c r="D19" s="181" t="s">
        <v>586</v>
      </c>
      <c r="G19" s="56" t="s">
        <v>587</v>
      </c>
    </row>
    <row r="20" spans="2:7" x14ac:dyDescent="0.25">
      <c r="G20" s="181" t="s">
        <v>588</v>
      </c>
    </row>
    <row r="21" spans="2:7" x14ac:dyDescent="0.25">
      <c r="D21" s="181" t="s">
        <v>589</v>
      </c>
      <c r="G21" s="181" t="s">
        <v>590</v>
      </c>
    </row>
    <row r="22" spans="2:7" x14ac:dyDescent="0.25">
      <c r="G22" s="181" t="s">
        <v>591</v>
      </c>
    </row>
    <row r="23" spans="2:7" x14ac:dyDescent="0.25">
      <c r="G23" s="181" t="s">
        <v>695</v>
      </c>
    </row>
    <row r="24" spans="2:7" x14ac:dyDescent="0.25">
      <c r="G24" s="181" t="s">
        <v>696</v>
      </c>
    </row>
    <row r="25" spans="2:7" x14ac:dyDescent="0.25">
      <c r="D25" s="181" t="s">
        <v>742</v>
      </c>
      <c r="G25" s="181" t="s">
        <v>743</v>
      </c>
    </row>
    <row r="26" spans="2:7" x14ac:dyDescent="0.25">
      <c r="B26" s="705" t="s">
        <v>744</v>
      </c>
      <c r="D26" s="181" t="s">
        <v>592</v>
      </c>
      <c r="G26" s="181" t="s">
        <v>593</v>
      </c>
    </row>
    <row r="27" spans="2:7" x14ac:dyDescent="0.25">
      <c r="B27" s="705"/>
      <c r="D27" s="181" t="s">
        <v>594</v>
      </c>
      <c r="G27" s="465" t="s">
        <v>595</v>
      </c>
    </row>
    <row r="28" spans="2:7" x14ac:dyDescent="0.25">
      <c r="B28" s="705"/>
      <c r="D28" s="181" t="s">
        <v>596</v>
      </c>
      <c r="G28" s="181" t="s">
        <v>597</v>
      </c>
    </row>
    <row r="29" spans="2:7" x14ac:dyDescent="0.25">
      <c r="B29" s="705"/>
      <c r="D29" s="181" t="s">
        <v>598</v>
      </c>
      <c r="G29" s="181" t="s">
        <v>599</v>
      </c>
    </row>
    <row r="30" spans="2:7" x14ac:dyDescent="0.25">
      <c r="B30" s="705"/>
      <c r="D30" s="181" t="s">
        <v>600</v>
      </c>
      <c r="G30" s="181" t="s">
        <v>601</v>
      </c>
    </row>
    <row r="31" spans="2:7" x14ac:dyDescent="0.25">
      <c r="B31" s="705"/>
      <c r="D31" s="181" t="s">
        <v>602</v>
      </c>
      <c r="G31" s="181" t="s">
        <v>603</v>
      </c>
    </row>
    <row r="32" spans="2:7" x14ac:dyDescent="0.25">
      <c r="D32" s="181" t="s">
        <v>697</v>
      </c>
    </row>
  </sheetData>
  <mergeCells count="1">
    <mergeCell ref="B26:B31"/>
  </mergeCells>
  <phoneticPr fontId="68"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85" t="s">
        <v>423</v>
      </c>
      <c r="C1" s="1085"/>
      <c r="D1" s="1085"/>
      <c r="E1" s="1085"/>
      <c r="F1" s="1085"/>
      <c r="G1" s="1085"/>
      <c r="H1" s="1085"/>
    </row>
    <row r="2" spans="2:11" ht="14.25" customHeight="1" x14ac:dyDescent="0.25"/>
    <row r="3" spans="2:11" ht="14.25" customHeight="1" x14ac:dyDescent="0.25"/>
    <row r="5" spans="2:11" ht="14.25" customHeight="1" x14ac:dyDescent="0.25"/>
    <row r="6" spans="2:11" ht="14.25" customHeight="1" x14ac:dyDescent="0.25">
      <c r="C6" s="38" t="s">
        <v>96</v>
      </c>
      <c r="D6" s="38" t="s">
        <v>98</v>
      </c>
      <c r="E6" s="38"/>
      <c r="J6" s="183"/>
      <c r="K6" s="184"/>
    </row>
    <row r="7" spans="2:11" ht="14.25" customHeight="1" x14ac:dyDescent="0.25">
      <c r="B7" s="496">
        <v>0</v>
      </c>
      <c r="C7" s="496">
        <v>1620</v>
      </c>
      <c r="D7" s="458">
        <v>0</v>
      </c>
      <c r="E7" s="459">
        <f t="shared" ref="E7:E26" si="0" xml:space="preserve"> IF($H$11&gt;=B7,IF($H$11&lt;C7,D7,0),0)</f>
        <v>0</v>
      </c>
    </row>
    <row r="8" spans="2:11" ht="14.25" customHeight="1" x14ac:dyDescent="0.25">
      <c r="B8" s="496">
        <f>C7</f>
        <v>1620</v>
      </c>
      <c r="C8" s="496">
        <v>1683</v>
      </c>
      <c r="D8" s="412">
        <v>5.0000000000000001E-3</v>
      </c>
      <c r="E8" s="412">
        <f t="shared" si="0"/>
        <v>0</v>
      </c>
    </row>
    <row r="9" spans="2:11" ht="14.25" customHeight="1" x14ac:dyDescent="0.25">
      <c r="B9" s="496">
        <f>C8</f>
        <v>1683</v>
      </c>
      <c r="C9" s="496">
        <v>1791</v>
      </c>
      <c r="D9" s="412">
        <v>1.2999999999999999E-2</v>
      </c>
      <c r="E9" s="412">
        <f t="shared" si="0"/>
        <v>0</v>
      </c>
    </row>
    <row r="10" spans="2:11" ht="14.25" customHeight="1" x14ac:dyDescent="0.25">
      <c r="B10" s="496">
        <f>C9</f>
        <v>1791</v>
      </c>
      <c r="C10" s="496">
        <v>1911</v>
      </c>
      <c r="D10" s="412">
        <v>2.1000000000000001E-2</v>
      </c>
      <c r="E10" s="412">
        <f t="shared" si="0"/>
        <v>0</v>
      </c>
      <c r="G10" s="1086" t="s">
        <v>194</v>
      </c>
      <c r="H10" s="1087"/>
    </row>
    <row r="11" spans="2:11" ht="14.25" customHeight="1" x14ac:dyDescent="0.25">
      <c r="B11" s="496">
        <f>C10</f>
        <v>1911</v>
      </c>
      <c r="C11" s="496">
        <v>2042</v>
      </c>
      <c r="D11" s="412">
        <v>2.9000000000000001E-2</v>
      </c>
      <c r="E11" s="412">
        <f t="shared" si="0"/>
        <v>0</v>
      </c>
      <c r="G11" s="189" t="s">
        <v>94</v>
      </c>
      <c r="H11" s="190">
        <v>3000</v>
      </c>
    </row>
    <row r="12" spans="2:11" ht="14.25" customHeight="1" x14ac:dyDescent="0.25">
      <c r="B12" s="496">
        <f>C11</f>
        <v>2042</v>
      </c>
      <c r="C12" s="496">
        <v>2151</v>
      </c>
      <c r="D12" s="412">
        <v>3.5000000000000003E-2</v>
      </c>
      <c r="E12" s="412">
        <f t="shared" si="0"/>
        <v>0</v>
      </c>
      <c r="G12" s="189" t="s">
        <v>95</v>
      </c>
      <c r="H12" s="191">
        <f>E27</f>
        <v>7.4999999999999997E-2</v>
      </c>
    </row>
    <row r="13" spans="2:11" ht="14.25" customHeight="1" x14ac:dyDescent="0.25">
      <c r="B13" s="496">
        <f t="shared" ref="B13:B24" si="1">C12</f>
        <v>2151</v>
      </c>
      <c r="C13" s="496">
        <v>2294</v>
      </c>
      <c r="D13" s="412">
        <v>4.1000000000000002E-2</v>
      </c>
      <c r="E13" s="412">
        <f t="shared" si="0"/>
        <v>0</v>
      </c>
    </row>
    <row r="14" spans="2:11" ht="14.25" customHeight="1" x14ac:dyDescent="0.25">
      <c r="B14" s="496">
        <f t="shared" si="1"/>
        <v>2294</v>
      </c>
      <c r="C14" s="496">
        <v>2714</v>
      </c>
      <c r="D14" s="412">
        <v>5.2999999999999999E-2</v>
      </c>
      <c r="E14" s="412">
        <f t="shared" si="0"/>
        <v>0</v>
      </c>
    </row>
    <row r="15" spans="2:11" ht="14.25" customHeight="1" x14ac:dyDescent="0.25">
      <c r="B15" s="496">
        <f t="shared" si="1"/>
        <v>2714</v>
      </c>
      <c r="C15" s="496">
        <v>3107</v>
      </c>
      <c r="D15" s="412">
        <v>7.4999999999999997E-2</v>
      </c>
      <c r="E15" s="412">
        <f t="shared" si="0"/>
        <v>7.4999999999999997E-2</v>
      </c>
    </row>
    <row r="16" spans="2:11" ht="14.25" customHeight="1" x14ac:dyDescent="0.25">
      <c r="B16" s="496">
        <f t="shared" si="1"/>
        <v>3107</v>
      </c>
      <c r="C16" s="496">
        <v>3539</v>
      </c>
      <c r="D16" s="412">
        <v>9.9000000000000005E-2</v>
      </c>
      <c r="E16" s="412">
        <f t="shared" si="0"/>
        <v>0</v>
      </c>
    </row>
    <row r="17" spans="2:11" ht="14.25" customHeight="1" x14ac:dyDescent="0.25">
      <c r="B17" s="496">
        <f t="shared" si="1"/>
        <v>3539</v>
      </c>
      <c r="C17" s="496">
        <v>3983</v>
      </c>
      <c r="D17" s="412">
        <v>0.11899999999999999</v>
      </c>
      <c r="E17" s="412">
        <f t="shared" si="0"/>
        <v>0</v>
      </c>
    </row>
    <row r="18" spans="2:11" ht="14.25" customHeight="1" x14ac:dyDescent="0.25">
      <c r="B18" s="496">
        <f t="shared" si="1"/>
        <v>3983</v>
      </c>
      <c r="C18" s="496">
        <v>4648</v>
      </c>
      <c r="D18" s="412">
        <v>0.13800000000000001</v>
      </c>
      <c r="E18" s="412">
        <f t="shared" si="0"/>
        <v>0</v>
      </c>
    </row>
    <row r="19" spans="2:11" ht="14.25" customHeight="1" x14ac:dyDescent="0.25">
      <c r="B19" s="496">
        <f t="shared" si="1"/>
        <v>4648</v>
      </c>
      <c r="C19" s="496">
        <v>5574</v>
      </c>
      <c r="D19" s="412">
        <v>0.158</v>
      </c>
      <c r="E19" s="412">
        <f t="shared" si="0"/>
        <v>0</v>
      </c>
    </row>
    <row r="20" spans="2:11" ht="14.25" customHeight="1" x14ac:dyDescent="0.25">
      <c r="B20" s="496">
        <f t="shared" si="1"/>
        <v>5574</v>
      </c>
      <c r="C20" s="496">
        <v>6974</v>
      </c>
      <c r="D20" s="412">
        <v>0.17899999999999999</v>
      </c>
      <c r="E20" s="412">
        <f t="shared" si="0"/>
        <v>0</v>
      </c>
    </row>
    <row r="21" spans="2:11" ht="14.25" customHeight="1" x14ac:dyDescent="0.25">
      <c r="B21" s="496">
        <f t="shared" si="1"/>
        <v>6974</v>
      </c>
      <c r="C21" s="496">
        <v>8711</v>
      </c>
      <c r="D21" s="412">
        <v>0.2</v>
      </c>
      <c r="E21" s="412">
        <f t="shared" si="0"/>
        <v>0</v>
      </c>
    </row>
    <row r="22" spans="2:11" ht="14.25" customHeight="1" x14ac:dyDescent="0.25">
      <c r="B22" s="496">
        <f t="shared" si="1"/>
        <v>8711</v>
      </c>
      <c r="C22" s="496">
        <v>12091</v>
      </c>
      <c r="D22" s="412">
        <v>0.24</v>
      </c>
      <c r="E22" s="412">
        <f t="shared" si="0"/>
        <v>0</v>
      </c>
    </row>
    <row r="23" spans="2:11" ht="14.25" customHeight="1" x14ac:dyDescent="0.25">
      <c r="B23" s="496">
        <f t="shared" si="1"/>
        <v>12091</v>
      </c>
      <c r="C23" s="496">
        <v>16376</v>
      </c>
      <c r="D23" s="412">
        <v>0.28000000000000003</v>
      </c>
      <c r="E23" s="412">
        <f t="shared" si="0"/>
        <v>0</v>
      </c>
    </row>
    <row r="24" spans="2:11" ht="14.25" customHeight="1" x14ac:dyDescent="0.25">
      <c r="B24" s="496">
        <f t="shared" si="1"/>
        <v>16376</v>
      </c>
      <c r="C24" s="496">
        <v>25706</v>
      </c>
      <c r="D24" s="412">
        <v>0.33</v>
      </c>
      <c r="E24" s="412">
        <f t="shared" si="0"/>
        <v>0</v>
      </c>
    </row>
    <row r="25" spans="2:11" ht="14.25" customHeight="1" x14ac:dyDescent="0.25">
      <c r="B25" s="496">
        <f>C24</f>
        <v>25706</v>
      </c>
      <c r="C25" s="496">
        <v>55062</v>
      </c>
      <c r="D25" s="412">
        <v>0.38</v>
      </c>
      <c r="E25" s="412">
        <f t="shared" si="0"/>
        <v>0</v>
      </c>
    </row>
    <row r="26" spans="2:11" ht="14.25" customHeight="1" x14ac:dyDescent="0.25">
      <c r="B26" s="496">
        <f>C25</f>
        <v>55062</v>
      </c>
      <c r="C26" s="496"/>
      <c r="D26" s="412">
        <v>0.43</v>
      </c>
      <c r="E26" s="412">
        <f t="shared" si="0"/>
        <v>0</v>
      </c>
    </row>
    <row r="27" spans="2:11" ht="14.25" customHeight="1" x14ac:dyDescent="0.25">
      <c r="B27" s="497"/>
      <c r="C27" s="497"/>
      <c r="E27" s="188">
        <f>SUM(E7:E26)</f>
        <v>7.4999999999999997E-2</v>
      </c>
    </row>
    <row r="28" spans="2:11" ht="18" customHeight="1" x14ac:dyDescent="0.25"/>
    <row r="29" spans="2:11" ht="14.25" hidden="1" customHeight="1" x14ac:dyDescent="0.25">
      <c r="B29" s="498" t="s">
        <v>640</v>
      </c>
      <c r="C29" s="498"/>
      <c r="J29" s="1084"/>
      <c r="K29" s="1084"/>
    </row>
    <row r="30" spans="2:11" ht="14.25" hidden="1" customHeight="1" x14ac:dyDescent="0.25">
      <c r="D30" s="38" t="s">
        <v>98</v>
      </c>
      <c r="E30" s="38"/>
      <c r="K30" s="193"/>
    </row>
    <row r="31" spans="2:11" ht="14.25" hidden="1" customHeight="1" x14ac:dyDescent="0.25">
      <c r="D31" s="185">
        <v>0</v>
      </c>
      <c r="E31" s="186">
        <f t="shared" ref="E31:E50" si="2" xml:space="preserve"> IF($G$34&gt;=B31,IF($G$34&lt;C31,D31,0),0)</f>
        <v>0</v>
      </c>
      <c r="K31" s="194"/>
    </row>
    <row r="32" spans="2:11" ht="14.25" hidden="1" customHeight="1" x14ac:dyDescent="0.25">
      <c r="D32" s="187">
        <v>5.0000000000000001E-3</v>
      </c>
      <c r="E32" s="188">
        <f t="shared" si="2"/>
        <v>0</v>
      </c>
      <c r="F32" s="195"/>
    </row>
    <row r="33" spans="4:7" ht="14.25" hidden="1" customHeight="1" x14ac:dyDescent="0.25">
      <c r="D33" s="187">
        <v>1.2999999999999999E-2</v>
      </c>
      <c r="E33" s="188">
        <f t="shared" si="2"/>
        <v>0</v>
      </c>
      <c r="F33" s="195"/>
      <c r="G33" s="189" t="s">
        <v>195</v>
      </c>
    </row>
    <row r="34" spans="4:7" ht="14.25" hidden="1" customHeight="1" x14ac:dyDescent="0.25">
      <c r="D34" s="188">
        <v>2.1000000000000001E-2</v>
      </c>
      <c r="E34" s="188">
        <f t="shared" si="2"/>
        <v>0</v>
      </c>
      <c r="F34" s="195"/>
      <c r="G34" s="190"/>
    </row>
    <row r="35" spans="4:7" ht="14.25" hidden="1" customHeight="1" x14ac:dyDescent="0.25">
      <c r="D35" s="188">
        <v>2.9000000000000001E-2</v>
      </c>
      <c r="E35" s="188">
        <f t="shared" si="2"/>
        <v>0</v>
      </c>
      <c r="F35" s="195"/>
      <c r="G35" s="191"/>
    </row>
    <row r="36" spans="4:7" ht="14.25" hidden="1" customHeight="1" x14ac:dyDescent="0.25">
      <c r="D36" s="188">
        <v>3.5000000000000003E-2</v>
      </c>
      <c r="E36" s="188">
        <f t="shared" si="2"/>
        <v>0</v>
      </c>
      <c r="F36" s="195"/>
    </row>
    <row r="37" spans="4:7" ht="14.25" hidden="1" customHeight="1" x14ac:dyDescent="0.25">
      <c r="D37" s="188">
        <v>4.1000000000000002E-2</v>
      </c>
      <c r="E37" s="188">
        <f t="shared" si="2"/>
        <v>0</v>
      </c>
      <c r="F37" s="195"/>
    </row>
    <row r="38" spans="4:7" ht="14.25" hidden="1" customHeight="1" x14ac:dyDescent="0.25">
      <c r="D38" s="188">
        <v>5.2999999999999999E-2</v>
      </c>
      <c r="E38" s="188">
        <f t="shared" si="2"/>
        <v>0</v>
      </c>
      <c r="F38" s="195"/>
    </row>
    <row r="39" spans="4:7" ht="14.25" hidden="1" customHeight="1" x14ac:dyDescent="0.25">
      <c r="D39" s="188">
        <v>7.4999999999999997E-2</v>
      </c>
      <c r="E39" s="188">
        <f t="shared" si="2"/>
        <v>0</v>
      </c>
      <c r="F39" s="195"/>
    </row>
    <row r="40" spans="4:7" ht="14.25" hidden="1" customHeight="1" x14ac:dyDescent="0.25">
      <c r="D40" s="188">
        <v>9.9000000000000005E-2</v>
      </c>
      <c r="E40" s="188">
        <f t="shared" si="2"/>
        <v>0</v>
      </c>
      <c r="F40" s="195"/>
    </row>
    <row r="41" spans="4:7" ht="14.25" hidden="1" customHeight="1" x14ac:dyDescent="0.25">
      <c r="D41" s="188">
        <v>0.11899999999999999</v>
      </c>
      <c r="E41" s="188">
        <f t="shared" si="2"/>
        <v>0</v>
      </c>
      <c r="F41" s="195"/>
    </row>
    <row r="42" spans="4:7" ht="14.25" hidden="1" customHeight="1" x14ac:dyDescent="0.25">
      <c r="D42" s="188">
        <v>0.13800000000000001</v>
      </c>
      <c r="E42" s="188">
        <f t="shared" si="2"/>
        <v>0</v>
      </c>
      <c r="F42" s="195"/>
    </row>
    <row r="43" spans="4:7" ht="14.25" hidden="1" customHeight="1" x14ac:dyDescent="0.25">
      <c r="D43" s="188">
        <v>0.158</v>
      </c>
      <c r="E43" s="188">
        <f t="shared" si="2"/>
        <v>0</v>
      </c>
      <c r="F43" s="195"/>
    </row>
    <row r="44" spans="4:7" ht="14.25" hidden="1" customHeight="1" x14ac:dyDescent="0.25">
      <c r="D44" s="188">
        <v>0.17899999999999999</v>
      </c>
      <c r="E44" s="188">
        <f t="shared" si="2"/>
        <v>0</v>
      </c>
      <c r="F44" s="195"/>
    </row>
    <row r="45" spans="4:7" ht="14.25" hidden="1" customHeight="1" x14ac:dyDescent="0.25">
      <c r="D45" s="188">
        <v>0.2</v>
      </c>
      <c r="E45" s="188">
        <f t="shared" si="2"/>
        <v>0</v>
      </c>
      <c r="F45" s="195"/>
    </row>
    <row r="46" spans="4:7" ht="14.25" hidden="1" customHeight="1" x14ac:dyDescent="0.25">
      <c r="D46" s="188">
        <v>0.24</v>
      </c>
      <c r="E46" s="188">
        <f t="shared" si="2"/>
        <v>0</v>
      </c>
      <c r="F46" s="195"/>
    </row>
    <row r="47" spans="4:7" ht="14.25" hidden="1" customHeight="1" x14ac:dyDescent="0.25">
      <c r="D47" s="188">
        <v>0.28000000000000003</v>
      </c>
      <c r="E47" s="188">
        <f t="shared" si="2"/>
        <v>0</v>
      </c>
      <c r="F47" s="195"/>
    </row>
    <row r="48" spans="4:7" ht="14.25" hidden="1" customHeight="1" x14ac:dyDescent="0.25">
      <c r="D48" s="188">
        <v>0.33</v>
      </c>
      <c r="E48" s="188">
        <f t="shared" si="2"/>
        <v>0</v>
      </c>
      <c r="F48" s="195"/>
    </row>
    <row r="49" spans="4:6" ht="14.25" hidden="1" customHeight="1" x14ac:dyDescent="0.25">
      <c r="D49" s="188">
        <v>0.38</v>
      </c>
      <c r="E49" s="188">
        <f t="shared" si="2"/>
        <v>0</v>
      </c>
      <c r="F49" s="195"/>
    </row>
    <row r="50" spans="4:6" ht="14.25" hidden="1" customHeight="1" x14ac:dyDescent="0.25">
      <c r="D50" s="188">
        <v>0.43</v>
      </c>
      <c r="E50" s="188">
        <f t="shared" si="2"/>
        <v>0</v>
      </c>
      <c r="F50" s="195"/>
    </row>
    <row r="51" spans="4:6" ht="14.25" hidden="1" customHeight="1" x14ac:dyDescent="0.25">
      <c r="E51" s="188">
        <f>SUM(E31:E50)</f>
        <v>0</v>
      </c>
      <c r="F51" s="196"/>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D9226-7159-47CE-BC51-E65A0C94AE26}">
  <dimension ref="B2:C32"/>
  <sheetViews>
    <sheetView topLeftCell="A14" workbookViewId="0">
      <selection activeCell="A14" sqref="A1:XFD1048576"/>
    </sheetView>
  </sheetViews>
  <sheetFormatPr baseColWidth="10" defaultRowHeight="15.75" x14ac:dyDescent="0.25"/>
  <cols>
    <col min="1" max="16384" width="11.42578125" style="181"/>
  </cols>
  <sheetData>
    <row r="2" spans="2:3" x14ac:dyDescent="0.25">
      <c r="B2" s="181" t="s">
        <v>786</v>
      </c>
    </row>
    <row r="4" spans="2:3" x14ac:dyDescent="0.25">
      <c r="C4" s="181" t="s">
        <v>787</v>
      </c>
    </row>
    <row r="6" spans="2:3" x14ac:dyDescent="0.25">
      <c r="C6" s="181" t="s">
        <v>732</v>
      </c>
    </row>
    <row r="7" spans="2:3" x14ac:dyDescent="0.25">
      <c r="C7" s="181" t="s">
        <v>733</v>
      </c>
    </row>
    <row r="9" spans="2:3" x14ac:dyDescent="0.25">
      <c r="B9" s="181" t="s">
        <v>734</v>
      </c>
    </row>
    <row r="11" spans="2:3" x14ac:dyDescent="0.25">
      <c r="C11" s="181" t="s">
        <v>735</v>
      </c>
    </row>
    <row r="12" spans="2:3" x14ac:dyDescent="0.25">
      <c r="C12" s="181" t="s">
        <v>788</v>
      </c>
    </row>
    <row r="14" spans="2:3" x14ac:dyDescent="0.25">
      <c r="C14" s="181" t="s">
        <v>789</v>
      </c>
    </row>
    <row r="15" spans="2:3" x14ac:dyDescent="0.25">
      <c r="C15" s="181" t="s">
        <v>736</v>
      </c>
    </row>
    <row r="16" spans="2:3" x14ac:dyDescent="0.25">
      <c r="C16" s="181" t="s">
        <v>737</v>
      </c>
    </row>
    <row r="18" spans="2:3" x14ac:dyDescent="0.25">
      <c r="C18" s="181" t="s">
        <v>790</v>
      </c>
    </row>
    <row r="19" spans="2:3" x14ac:dyDescent="0.25">
      <c r="C19" s="181" t="s">
        <v>791</v>
      </c>
    </row>
    <row r="21" spans="2:3" x14ac:dyDescent="0.25">
      <c r="C21" s="181" t="s">
        <v>793</v>
      </c>
    </row>
    <row r="22" spans="2:3" x14ac:dyDescent="0.25">
      <c r="C22" s="181" t="s">
        <v>794</v>
      </c>
    </row>
    <row r="23" spans="2:3" x14ac:dyDescent="0.25">
      <c r="C23" s="181" t="s">
        <v>795</v>
      </c>
    </row>
    <row r="24" spans="2:3" x14ac:dyDescent="0.25">
      <c r="C24" s="181" t="s">
        <v>792</v>
      </c>
    </row>
    <row r="26" spans="2:3" x14ac:dyDescent="0.25">
      <c r="B26" s="181" t="s">
        <v>796</v>
      </c>
    </row>
    <row r="28" spans="2:3" x14ac:dyDescent="0.25">
      <c r="B28" s="181" t="s">
        <v>738</v>
      </c>
    </row>
    <row r="30" spans="2:3" x14ac:dyDescent="0.25">
      <c r="B30" s="181" t="s">
        <v>739</v>
      </c>
    </row>
    <row r="32" spans="2:3" x14ac:dyDescent="0.25">
      <c r="B32" s="181" t="s">
        <v>740</v>
      </c>
    </row>
  </sheetData>
  <printOptions horizontalCentered="1" verticalCentered="1"/>
  <pageMargins left="0.11811023622047245" right="0.11811023622047245" top="0.15748031496062992" bottom="0.35433070866141736"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21" workbookViewId="0">
      <selection activeCell="J30" sqref="J30"/>
    </sheetView>
  </sheetViews>
  <sheetFormatPr baseColWidth="10" defaultColWidth="11.5703125" defaultRowHeight="15.75" x14ac:dyDescent="0.25"/>
  <cols>
    <col min="1" max="1" width="5.42578125" style="181" customWidth="1"/>
    <col min="2" max="2" width="14.85546875" style="181" customWidth="1"/>
    <col min="3" max="16384" width="11.5703125" style="181"/>
  </cols>
  <sheetData>
    <row r="3" spans="2:4" x14ac:dyDescent="0.25">
      <c r="B3" s="181" t="s">
        <v>655</v>
      </c>
    </row>
    <row r="5" spans="2:4" x14ac:dyDescent="0.25">
      <c r="B5" s="181" t="s">
        <v>656</v>
      </c>
    </row>
    <row r="6" spans="2:4" x14ac:dyDescent="0.25">
      <c r="B6" s="181" t="s">
        <v>657</v>
      </c>
    </row>
    <row r="7" spans="2:4" x14ac:dyDescent="0.25">
      <c r="B7" s="181" t="s">
        <v>691</v>
      </c>
    </row>
    <row r="9" spans="2:4" x14ac:dyDescent="0.25">
      <c r="C9" s="527" t="s">
        <v>658</v>
      </c>
      <c r="D9" s="181" t="s">
        <v>659</v>
      </c>
    </row>
    <row r="10" spans="2:4" x14ac:dyDescent="0.25">
      <c r="D10" s="181" t="s">
        <v>660</v>
      </c>
    </row>
    <row r="11" spans="2:4" x14ac:dyDescent="0.25">
      <c r="D11" s="181" t="s">
        <v>661</v>
      </c>
    </row>
    <row r="13" spans="2:4" x14ac:dyDescent="0.25">
      <c r="C13" s="528" t="s">
        <v>662</v>
      </c>
      <c r="D13" s="181" t="s">
        <v>663</v>
      </c>
    </row>
    <row r="14" spans="2:4" x14ac:dyDescent="0.25">
      <c r="D14" s="181" t="s">
        <v>664</v>
      </c>
    </row>
    <row r="16" spans="2:4" x14ac:dyDescent="0.25">
      <c r="B16" s="181" t="s">
        <v>665</v>
      </c>
    </row>
    <row r="18" spans="2:4" x14ac:dyDescent="0.25">
      <c r="C18" s="181" t="s">
        <v>666</v>
      </c>
    </row>
    <row r="19" spans="2:4" x14ac:dyDescent="0.25">
      <c r="C19" s="181" t="s">
        <v>667</v>
      </c>
    </row>
    <row r="20" spans="2:4" x14ac:dyDescent="0.25">
      <c r="C20" s="181" t="s">
        <v>668</v>
      </c>
    </row>
    <row r="21" spans="2:4" x14ac:dyDescent="0.25">
      <c r="C21" s="181" t="s">
        <v>669</v>
      </c>
    </row>
    <row r="23" spans="2:4" x14ac:dyDescent="0.25">
      <c r="B23" s="181" t="s">
        <v>670</v>
      </c>
    </row>
    <row r="24" spans="2:4" x14ac:dyDescent="0.25">
      <c r="D24" s="181">
        <v>128</v>
      </c>
    </row>
    <row r="25" spans="2:4" x14ac:dyDescent="0.25">
      <c r="D25" s="181">
        <v>132</v>
      </c>
    </row>
    <row r="26" spans="2:4" x14ac:dyDescent="0.25">
      <c r="D26" s="181">
        <v>133</v>
      </c>
    </row>
    <row r="27" spans="2:4" x14ac:dyDescent="0.25">
      <c r="D27" s="181">
        <v>134</v>
      </c>
    </row>
    <row r="28" spans="2:4" x14ac:dyDescent="0.25">
      <c r="D28" s="181">
        <v>135</v>
      </c>
    </row>
    <row r="29" spans="2:4" x14ac:dyDescent="0.25">
      <c r="D29" s="181">
        <v>136</v>
      </c>
    </row>
    <row r="30" spans="2:4" x14ac:dyDescent="0.25">
      <c r="D30" s="181">
        <v>137</v>
      </c>
    </row>
    <row r="31" spans="2:4" x14ac:dyDescent="0.25">
      <c r="C31" s="181" t="s">
        <v>671</v>
      </c>
    </row>
    <row r="34" spans="2:2" x14ac:dyDescent="0.25">
      <c r="B34" s="181" t="s">
        <v>672</v>
      </c>
    </row>
    <row r="36" spans="2:2" x14ac:dyDescent="0.25">
      <c r="B36" s="181" t="s">
        <v>692</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02318-466F-49C2-82AB-F271FFA2C835}">
  <dimension ref="B1:L9"/>
  <sheetViews>
    <sheetView topLeftCell="A8" workbookViewId="0">
      <selection activeCell="B3" sqref="B3:J3"/>
    </sheetView>
  </sheetViews>
  <sheetFormatPr baseColWidth="10" defaultRowHeight="15" x14ac:dyDescent="0.25"/>
  <cols>
    <col min="10" max="10" width="18.7109375" customWidth="1"/>
  </cols>
  <sheetData>
    <row r="1" spans="2:12" ht="15.75" x14ac:dyDescent="0.25">
      <c r="B1" s="680" t="s">
        <v>801</v>
      </c>
    </row>
    <row r="2" spans="2:12" ht="15.75" x14ac:dyDescent="0.25">
      <c r="B2" s="681"/>
      <c r="C2" s="681"/>
      <c r="D2" s="681"/>
      <c r="E2" s="681"/>
      <c r="F2" s="681"/>
      <c r="G2" s="681"/>
      <c r="H2" s="681"/>
      <c r="I2" s="681"/>
      <c r="J2" s="681"/>
      <c r="K2" s="681"/>
      <c r="L2" s="681"/>
    </row>
    <row r="3" spans="2:12" ht="66.75" customHeight="1" x14ac:dyDescent="0.25">
      <c r="B3" s="706" t="s">
        <v>822</v>
      </c>
      <c r="C3" s="706"/>
      <c r="D3" s="706"/>
      <c r="E3" s="706"/>
      <c r="F3" s="706"/>
      <c r="G3" s="706"/>
      <c r="H3" s="706"/>
      <c r="I3" s="706"/>
      <c r="J3" s="706"/>
      <c r="K3" s="681"/>
      <c r="L3" s="681"/>
    </row>
    <row r="4" spans="2:12" ht="32.25" customHeight="1" x14ac:dyDescent="0.25">
      <c r="B4" s="707" t="s">
        <v>802</v>
      </c>
      <c r="C4" s="707"/>
      <c r="D4" s="707"/>
      <c r="E4" s="707"/>
      <c r="F4" s="707"/>
      <c r="G4" s="707"/>
      <c r="H4" s="707"/>
      <c r="I4" s="707"/>
      <c r="J4" s="707"/>
      <c r="K4" s="681"/>
      <c r="L4" s="681"/>
    </row>
    <row r="5" spans="2:12" ht="19.899999999999999" customHeight="1" x14ac:dyDescent="0.25"/>
    <row r="6" spans="2:12" ht="19.899999999999999" customHeight="1" x14ac:dyDescent="0.25"/>
    <row r="7" spans="2:12" ht="19.899999999999999" customHeight="1" x14ac:dyDescent="0.25"/>
    <row r="8" spans="2:12" ht="19.899999999999999" customHeight="1" x14ac:dyDescent="0.25"/>
    <row r="9" spans="2:12" ht="19.899999999999999" customHeight="1" x14ac:dyDescent="0.25"/>
  </sheetData>
  <mergeCells count="2">
    <mergeCell ref="B3:J3"/>
    <mergeCell ref="B4:J4"/>
  </mergeCells>
  <pageMargins left="0.70866141732283472" right="0.70866141732283472" top="0.74803149606299213" bottom="0.74803149606299213" header="0.31496062992125984" footer="0.31496062992125984"/>
  <pageSetup paperSize="9" scale="75" orientation="landscape"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FBBCC-DD18-4B1A-B337-5242BA8F7910}">
  <dimension ref="A6:O53"/>
  <sheetViews>
    <sheetView tabSelected="1" topLeftCell="A27" workbookViewId="0">
      <selection activeCell="J39" sqref="J39"/>
    </sheetView>
  </sheetViews>
  <sheetFormatPr baseColWidth="10" defaultRowHeight="15" x14ac:dyDescent="0.25"/>
  <sheetData>
    <row r="6" spans="2:12" ht="15.75" x14ac:dyDescent="0.25">
      <c r="B6" s="680" t="s">
        <v>801</v>
      </c>
    </row>
    <row r="8" spans="2:12" ht="15.75" x14ac:dyDescent="0.25">
      <c r="B8" s="681"/>
      <c r="C8" s="681"/>
      <c r="D8" s="681"/>
      <c r="E8" s="681"/>
      <c r="F8" s="681"/>
      <c r="G8" s="681"/>
      <c r="H8" s="681"/>
      <c r="I8" s="681"/>
      <c r="J8" s="681"/>
      <c r="K8" s="681"/>
      <c r="L8" s="681"/>
    </row>
    <row r="9" spans="2:12" ht="6.6" customHeight="1" x14ac:dyDescent="0.25">
      <c r="B9" s="681"/>
      <c r="C9" s="681"/>
      <c r="D9" s="681"/>
      <c r="E9" s="681"/>
      <c r="F9" s="681"/>
      <c r="G9" s="681"/>
      <c r="H9" s="681"/>
      <c r="I9" s="681"/>
      <c r="J9" s="681"/>
      <c r="K9" s="681"/>
      <c r="L9" s="681"/>
    </row>
    <row r="10" spans="2:12" ht="15.75" hidden="1" x14ac:dyDescent="0.25">
      <c r="B10" s="681"/>
      <c r="C10" s="681"/>
      <c r="D10" s="681"/>
      <c r="E10" s="681"/>
      <c r="F10" s="681"/>
      <c r="G10" s="681"/>
      <c r="H10" s="681"/>
      <c r="I10" s="681"/>
      <c r="J10" s="681"/>
      <c r="K10" s="681"/>
      <c r="L10" s="681"/>
    </row>
    <row r="11" spans="2:12" ht="66" customHeight="1" x14ac:dyDescent="0.25">
      <c r="B11" s="706" t="s">
        <v>812</v>
      </c>
      <c r="C11" s="706"/>
      <c r="D11" s="706"/>
      <c r="E11" s="706"/>
      <c r="F11" s="706"/>
      <c r="G11" s="706"/>
      <c r="H11" s="706"/>
      <c r="I11" s="706"/>
      <c r="J11" s="706"/>
      <c r="K11" s="681"/>
    </row>
    <row r="12" spans="2:12" ht="15.75" x14ac:dyDescent="0.25">
      <c r="B12" s="681"/>
      <c r="C12" s="681"/>
      <c r="D12" s="681"/>
      <c r="E12" s="681"/>
      <c r="F12" s="681"/>
      <c r="G12" s="681"/>
      <c r="H12" s="681"/>
      <c r="I12" s="681"/>
      <c r="J12" s="681"/>
      <c r="K12" s="681"/>
      <c r="L12" s="681"/>
    </row>
    <row r="13" spans="2:12" ht="24" customHeight="1" x14ac:dyDescent="0.25">
      <c r="B13" s="711" t="s">
        <v>292</v>
      </c>
      <c r="C13" s="711"/>
      <c r="D13" s="711"/>
      <c r="E13" s="682">
        <v>3000</v>
      </c>
      <c r="F13" s="681"/>
      <c r="G13" s="681"/>
      <c r="H13" s="681"/>
      <c r="I13" s="681"/>
      <c r="J13" s="681"/>
      <c r="K13" s="681"/>
      <c r="L13" s="681"/>
    </row>
    <row r="14" spans="2:12" ht="24" customHeight="1" x14ac:dyDescent="0.25">
      <c r="B14" s="1023" t="s">
        <v>723</v>
      </c>
      <c r="C14" s="1024"/>
      <c r="D14" s="1025"/>
      <c r="E14" s="682">
        <f>'BP VERSION JANVIER 2023'!J21</f>
        <v>257.10000000000002</v>
      </c>
      <c r="F14" s="681"/>
      <c r="G14" s="681"/>
      <c r="H14" s="681"/>
      <c r="I14" s="681"/>
      <c r="J14" s="681"/>
      <c r="K14" s="681"/>
      <c r="L14" s="681"/>
    </row>
    <row r="15" spans="2:12" ht="30" customHeight="1" x14ac:dyDescent="0.25">
      <c r="B15" s="711" t="s">
        <v>813</v>
      </c>
      <c r="C15" s="711"/>
      <c r="D15" s="711"/>
      <c r="E15" s="682">
        <f>-E13*5/22</f>
        <v>-681.81818181818187</v>
      </c>
      <c r="F15" s="709" t="s">
        <v>814</v>
      </c>
      <c r="G15" s="708"/>
      <c r="H15" s="708"/>
      <c r="I15" s="708"/>
      <c r="J15" s="681"/>
      <c r="K15" s="681"/>
      <c r="L15" s="681"/>
    </row>
    <row r="16" spans="2:12" ht="21" customHeight="1" x14ac:dyDescent="0.25">
      <c r="B16" s="681"/>
      <c r="C16" s="681"/>
      <c r="D16" s="681"/>
      <c r="E16" s="684">
        <f>SUM(E13:E15)</f>
        <v>2575.2818181818179</v>
      </c>
      <c r="F16" s="681"/>
      <c r="G16" s="681"/>
      <c r="H16" s="681"/>
      <c r="I16" s="681"/>
      <c r="J16" s="681"/>
      <c r="K16" s="681"/>
      <c r="L16" s="681"/>
    </row>
    <row r="17" spans="2:14" ht="15.75" x14ac:dyDescent="0.25">
      <c r="B17" s="681"/>
      <c r="C17" s="681"/>
      <c r="D17" s="681"/>
      <c r="E17" s="681"/>
      <c r="F17" s="681"/>
      <c r="G17" s="681"/>
      <c r="H17" s="681"/>
      <c r="I17" s="681"/>
      <c r="K17" s="681"/>
      <c r="L17" s="681"/>
    </row>
    <row r="18" spans="2:14" ht="15.75" x14ac:dyDescent="0.25">
      <c r="B18" s="712" t="s">
        <v>803</v>
      </c>
      <c r="C18" s="712"/>
      <c r="D18" s="712"/>
      <c r="E18" s="712"/>
      <c r="F18" s="712"/>
      <c r="G18" s="712"/>
      <c r="H18" s="712"/>
      <c r="I18" s="712"/>
      <c r="J18" s="681"/>
      <c r="K18" s="681"/>
      <c r="L18" s="681"/>
    </row>
    <row r="19" spans="2:14" ht="15.75" x14ac:dyDescent="0.25">
      <c r="B19" s="681"/>
      <c r="C19" s="681"/>
      <c r="D19" s="681"/>
      <c r="E19" s="681"/>
      <c r="F19" s="681"/>
      <c r="G19" s="681"/>
      <c r="H19" s="681"/>
      <c r="I19" s="681"/>
      <c r="J19" s="681"/>
      <c r="K19" s="681"/>
      <c r="L19" s="681"/>
    </row>
    <row r="20" spans="2:14" ht="30.6" customHeight="1" x14ac:dyDescent="0.25">
      <c r="B20" s="713" t="s">
        <v>815</v>
      </c>
      <c r="C20" s="713"/>
      <c r="D20" s="714"/>
      <c r="E20" s="38">
        <v>79.7</v>
      </c>
      <c r="F20" s="708" t="s">
        <v>804</v>
      </c>
      <c r="G20" s="708"/>
      <c r="H20" s="208"/>
      <c r="I20" s="38">
        <v>106.2</v>
      </c>
      <c r="J20" s="715" t="s">
        <v>805</v>
      </c>
      <c r="K20" s="715"/>
      <c r="L20" s="715"/>
      <c r="M20" s="715"/>
      <c r="N20" s="715"/>
    </row>
    <row r="21" spans="2:14" ht="31.5" customHeight="1" x14ac:dyDescent="0.25">
      <c r="B21" s="208"/>
      <c r="C21" s="208"/>
      <c r="D21" s="208"/>
      <c r="E21" s="672">
        <f>E20*2</f>
        <v>159.4</v>
      </c>
      <c r="F21" s="709" t="s">
        <v>816</v>
      </c>
      <c r="G21" s="708"/>
      <c r="H21" s="208"/>
      <c r="I21" s="208"/>
      <c r="J21" s="681"/>
      <c r="K21" s="681"/>
      <c r="L21" s="681"/>
    </row>
    <row r="22" spans="2:14" ht="15.75" x14ac:dyDescent="0.25">
      <c r="B22" s="208"/>
      <c r="C22" s="208"/>
      <c r="D22" s="208"/>
      <c r="E22" s="208"/>
      <c r="F22" s="208"/>
      <c r="G22" s="208"/>
      <c r="H22" s="208"/>
      <c r="I22" s="208"/>
      <c r="J22" s="681"/>
      <c r="K22" s="681"/>
      <c r="L22" s="681"/>
    </row>
    <row r="23" spans="2:14" ht="15.75" customHeight="1" x14ac:dyDescent="0.25">
      <c r="B23" s="708" t="s">
        <v>818</v>
      </c>
      <c r="C23" s="708"/>
      <c r="D23" s="708"/>
      <c r="E23" s="708"/>
      <c r="F23" s="708"/>
      <c r="G23" s="708"/>
      <c r="H23" s="708"/>
      <c r="I23" s="708"/>
      <c r="J23" s="708"/>
      <c r="K23" s="708"/>
      <c r="L23" s="708"/>
      <c r="M23" s="708"/>
      <c r="N23" s="708"/>
    </row>
    <row r="24" spans="2:14" ht="15.75" customHeight="1" x14ac:dyDescent="0.25">
      <c r="B24" s="208"/>
      <c r="C24" s="208"/>
      <c r="D24" s="208"/>
      <c r="E24" s="208"/>
      <c r="F24" s="208"/>
      <c r="G24" s="208"/>
      <c r="H24" s="208"/>
      <c r="I24" s="208"/>
      <c r="J24" s="208"/>
      <c r="K24" s="208"/>
      <c r="L24" s="208"/>
      <c r="M24" s="208"/>
      <c r="N24" s="208"/>
    </row>
    <row r="25" spans="2:14" ht="15.75" customHeight="1" x14ac:dyDescent="0.25">
      <c r="B25" s="208"/>
      <c r="C25" s="208"/>
      <c r="D25" s="208"/>
      <c r="E25" s="208"/>
      <c r="F25" s="208"/>
      <c r="G25" s="208"/>
      <c r="H25" s="208"/>
      <c r="I25" s="208"/>
      <c r="J25" s="710" t="s">
        <v>819</v>
      </c>
      <c r="K25" s="710"/>
      <c r="L25" s="710"/>
      <c r="M25" s="710"/>
      <c r="N25" s="208"/>
    </row>
    <row r="26" spans="2:14" ht="15.75" x14ac:dyDescent="0.25">
      <c r="B26" s="208"/>
      <c r="C26" s="208"/>
      <c r="D26" s="208"/>
      <c r="E26" s="208"/>
      <c r="F26" s="208"/>
      <c r="G26" s="208"/>
      <c r="H26" s="208"/>
      <c r="I26" s="208"/>
      <c r="J26" s="681"/>
      <c r="K26" s="681"/>
      <c r="L26" s="681"/>
    </row>
    <row r="27" spans="2:14" ht="15.75" x14ac:dyDescent="0.25">
      <c r="B27" s="208"/>
      <c r="C27" s="208"/>
      <c r="D27" s="208"/>
      <c r="E27" s="672">
        <f>E21*3/4</f>
        <v>119.55000000000001</v>
      </c>
      <c r="F27" s="708" t="s">
        <v>823</v>
      </c>
      <c r="G27" s="708"/>
      <c r="H27" s="708"/>
      <c r="I27" s="208"/>
      <c r="J27" s="681"/>
      <c r="K27" s="681"/>
      <c r="L27" s="681"/>
    </row>
    <row r="28" spans="2:14" ht="15.75" x14ac:dyDescent="0.25">
      <c r="B28" s="208"/>
      <c r="C28" s="208"/>
      <c r="D28" s="208"/>
      <c r="E28" s="208"/>
      <c r="F28" s="208"/>
      <c r="G28" s="208"/>
      <c r="H28" s="208"/>
      <c r="I28" s="208"/>
      <c r="J28" s="681"/>
      <c r="K28" s="681"/>
      <c r="L28" s="681"/>
    </row>
    <row r="29" spans="2:14" ht="15.75" x14ac:dyDescent="0.25">
      <c r="B29" s="181" t="s">
        <v>806</v>
      </c>
      <c r="E29" s="683">
        <f>ROUND(4005*24/31,2)</f>
        <v>3100.65</v>
      </c>
      <c r="G29" s="181" t="s">
        <v>817</v>
      </c>
    </row>
    <row r="31" spans="2:14" ht="15.75" x14ac:dyDescent="0.25">
      <c r="B31" s="181" t="s">
        <v>807</v>
      </c>
      <c r="E31" s="683">
        <f>ROUND(151.67*J41/N41,2)+10</f>
        <v>125.58</v>
      </c>
      <c r="G31" s="181" t="s">
        <v>830</v>
      </c>
    </row>
    <row r="32" spans="2:14" x14ac:dyDescent="0.25">
      <c r="B32" t="s">
        <v>820</v>
      </c>
    </row>
    <row r="33" spans="1:15" x14ac:dyDescent="0.25">
      <c r="A33" t="s">
        <v>808</v>
      </c>
    </row>
    <row r="37" spans="1:15" x14ac:dyDescent="0.25">
      <c r="H37" s="56" t="s">
        <v>13</v>
      </c>
      <c r="I37" s="56"/>
      <c r="J37" s="452">
        <f>'BP VERSION JANVIER 2023'!J13</f>
        <v>3000</v>
      </c>
      <c r="K37" s="56"/>
      <c r="L37" s="56"/>
      <c r="N37" s="494">
        <v>3000</v>
      </c>
    </row>
    <row r="38" spans="1:15" x14ac:dyDescent="0.25">
      <c r="H38" s="56"/>
      <c r="I38" s="56"/>
      <c r="J38" s="1089">
        <f>'BP VERSION JANVIER 2023'!J17</f>
        <v>119.55000000000001</v>
      </c>
      <c r="K38" s="56"/>
      <c r="L38" t="s">
        <v>825</v>
      </c>
      <c r="N38" s="494">
        <f>99.5*2</f>
        <v>199</v>
      </c>
      <c r="O38" t="s">
        <v>831</v>
      </c>
    </row>
    <row r="39" spans="1:15" x14ac:dyDescent="0.25">
      <c r="H39" s="56"/>
      <c r="I39" s="56"/>
      <c r="J39" s="1088"/>
      <c r="K39" s="426">
        <f>'BP VERSION JANVIER 2023'!J21</f>
        <v>257.10000000000002</v>
      </c>
      <c r="L39" t="s">
        <v>828</v>
      </c>
      <c r="N39" s="494"/>
    </row>
    <row r="40" spans="1:15" x14ac:dyDescent="0.25">
      <c r="H40" s="56"/>
      <c r="I40" s="56"/>
      <c r="J40" s="1089">
        <f>'BP VERSION JANVIER 2023'!J23</f>
        <v>-681.81818181818187</v>
      </c>
      <c r="K40" s="56"/>
      <c r="L40" s="56"/>
      <c r="N40" s="494"/>
    </row>
    <row r="41" spans="1:15" x14ac:dyDescent="0.25">
      <c r="H41" s="56"/>
      <c r="I41" s="56"/>
      <c r="J41" s="1090">
        <f>SUM(J37:J40)</f>
        <v>2437.7318181818182</v>
      </c>
      <c r="K41" s="56"/>
      <c r="L41" s="56"/>
      <c r="N41" s="494">
        <f>SUM(N37:N40)</f>
        <v>3199</v>
      </c>
    </row>
    <row r="43" spans="1:15" ht="15.75" x14ac:dyDescent="0.25">
      <c r="B43" s="181" t="s">
        <v>827</v>
      </c>
    </row>
    <row r="44" spans="1:15" x14ac:dyDescent="0.25">
      <c r="B44" t="s">
        <v>809</v>
      </c>
    </row>
    <row r="47" spans="1:15" x14ac:dyDescent="0.25">
      <c r="B47" t="s">
        <v>387</v>
      </c>
      <c r="E47" t="s">
        <v>61</v>
      </c>
      <c r="G47" t="s">
        <v>810</v>
      </c>
    </row>
    <row r="48" spans="1:15" x14ac:dyDescent="0.25">
      <c r="B48" s="2">
        <f>'[1]BP FORMAT JUILLET 2023'!J33</f>
        <v>2389.9260869565214</v>
      </c>
      <c r="E48" s="2">
        <f>B48</f>
        <v>2389.9260869565214</v>
      </c>
      <c r="G48" s="2">
        <f>E48</f>
        <v>2389.9260869565214</v>
      </c>
    </row>
    <row r="49" spans="2:7" x14ac:dyDescent="0.25">
      <c r="B49" s="2">
        <f>-'[1]BP FORMAT JUILLET 2023'!F73</f>
        <v>-531.24</v>
      </c>
      <c r="E49" s="2">
        <f>B49</f>
        <v>-531.24</v>
      </c>
      <c r="G49" s="2">
        <f>E49</f>
        <v>-531.24</v>
      </c>
    </row>
    <row r="50" spans="2:7" x14ac:dyDescent="0.25">
      <c r="B50" s="491">
        <f>'[1]BP FORMAT JUILLET 2023'!F81</f>
        <v>-42.1</v>
      </c>
      <c r="E50" s="2">
        <f>'[1]BP FORMAT JUILLET 2023'!F67</f>
        <v>70.87</v>
      </c>
      <c r="G50" s="2"/>
    </row>
    <row r="51" spans="2:7" x14ac:dyDescent="0.25">
      <c r="B51" s="2">
        <f>SUM(B48:B50)</f>
        <v>1816.5860869565215</v>
      </c>
      <c r="E51" s="2">
        <f>'[1]BP FORMAT JUILLET 2023'!G40</f>
        <v>47.8</v>
      </c>
    </row>
    <row r="52" spans="2:7" x14ac:dyDescent="0.25">
      <c r="E52" s="2">
        <f>SUM(E48:E51)</f>
        <v>1977.3560869565215</v>
      </c>
      <c r="G52" s="2">
        <f>SUM(G48:G51)</f>
        <v>1858.6860869565214</v>
      </c>
    </row>
    <row r="53" spans="2:7" x14ac:dyDescent="0.25">
      <c r="B53" t="s">
        <v>811</v>
      </c>
    </row>
  </sheetData>
  <mergeCells count="13">
    <mergeCell ref="F27:H27"/>
    <mergeCell ref="F21:G21"/>
    <mergeCell ref="B23:N23"/>
    <mergeCell ref="J25:M25"/>
    <mergeCell ref="B11:J11"/>
    <mergeCell ref="B13:D13"/>
    <mergeCell ref="B15:D15"/>
    <mergeCell ref="F15:I15"/>
    <mergeCell ref="B18:I18"/>
    <mergeCell ref="B20:D20"/>
    <mergeCell ref="F20:G20"/>
    <mergeCell ref="J20:N20"/>
    <mergeCell ref="B14:D1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3" zoomScale="99" workbookViewId="0">
      <selection activeCell="A3" sqref="A3:B3"/>
    </sheetView>
  </sheetViews>
  <sheetFormatPr baseColWidth="10" defaultColWidth="18.7109375" defaultRowHeight="15" x14ac:dyDescent="0.25"/>
  <cols>
    <col min="1" max="2" width="18.7109375" style="20"/>
    <col min="3" max="3" width="18.7109375" style="280"/>
    <col min="4" max="4" width="18.7109375" style="30"/>
    <col min="5" max="5" width="18.7109375" style="36"/>
  </cols>
  <sheetData>
    <row r="1" spans="1:5" ht="48" customHeight="1" x14ac:dyDescent="0.25">
      <c r="A1" s="760" t="s">
        <v>67</v>
      </c>
      <c r="B1" s="761"/>
      <c r="C1" s="28" t="s">
        <v>68</v>
      </c>
      <c r="D1" s="260" t="s">
        <v>69</v>
      </c>
    </row>
    <row r="2" spans="1:5" ht="19.5" customHeight="1" x14ac:dyDescent="0.25">
      <c r="A2" s="762" t="s">
        <v>252</v>
      </c>
      <c r="B2" s="763"/>
      <c r="C2" s="28"/>
      <c r="D2" s="260"/>
    </row>
    <row r="3" spans="1:5" s="56" customFormat="1" ht="19.5" customHeight="1" x14ac:dyDescent="0.25">
      <c r="A3" s="764" t="s">
        <v>758</v>
      </c>
      <c r="B3" s="765"/>
      <c r="C3" s="198"/>
      <c r="D3" s="671">
        <v>0.13</v>
      </c>
      <c r="E3" s="199"/>
    </row>
    <row r="4" spans="1:5" s="56" customFormat="1" ht="19.5" customHeight="1" x14ac:dyDescent="0.25">
      <c r="A4" s="759"/>
      <c r="B4" s="739"/>
      <c r="C4" s="198"/>
      <c r="D4" s="198"/>
      <c r="E4" s="62"/>
    </row>
    <row r="5" spans="1:5" s="56" customFormat="1" ht="19.5" customHeight="1" x14ac:dyDescent="0.25">
      <c r="A5" s="759" t="s">
        <v>192</v>
      </c>
      <c r="B5" s="739"/>
      <c r="C5" s="366"/>
      <c r="D5" s="366"/>
      <c r="E5" s="758"/>
    </row>
    <row r="6" spans="1:5" s="56" customFormat="1" ht="19.5" customHeight="1" x14ac:dyDescent="0.25">
      <c r="A6" s="759" t="s">
        <v>239</v>
      </c>
      <c r="B6" s="739"/>
      <c r="C6" s="198"/>
      <c r="D6" s="198"/>
      <c r="E6" s="758"/>
    </row>
    <row r="7" spans="1:5" s="56" customFormat="1" ht="19.5" customHeight="1" x14ac:dyDescent="0.25">
      <c r="A7" s="755"/>
      <c r="B7" s="756"/>
      <c r="C7" s="756"/>
      <c r="D7" s="757"/>
      <c r="E7" s="261"/>
    </row>
    <row r="8" spans="1:5" s="56" customFormat="1" ht="19.5" customHeight="1" x14ac:dyDescent="0.25">
      <c r="A8" s="732" t="s">
        <v>38</v>
      </c>
      <c r="B8" s="733"/>
      <c r="C8" s="262"/>
      <c r="D8" s="263"/>
    </row>
    <row r="9" spans="1:5" s="56" customFormat="1" ht="19.5" customHeight="1" x14ac:dyDescent="0.25">
      <c r="A9" s="730" t="s">
        <v>253</v>
      </c>
      <c r="B9" s="731"/>
      <c r="C9" s="31"/>
      <c r="D9" s="31"/>
    </row>
    <row r="10" spans="1:5" s="56" customFormat="1" ht="19.5" customHeight="1" x14ac:dyDescent="0.25">
      <c r="A10" s="740" t="s">
        <v>240</v>
      </c>
      <c r="B10" s="741"/>
      <c r="C10" s="32"/>
      <c r="D10" s="670">
        <v>5.2499999999999998E-2</v>
      </c>
    </row>
    <row r="11" spans="1:5" s="56" customFormat="1" ht="19.5" customHeight="1" x14ac:dyDescent="0.25">
      <c r="A11" s="738"/>
      <c r="B11" s="739"/>
      <c r="C11" s="32"/>
      <c r="D11" s="201"/>
    </row>
    <row r="12" spans="1:5" s="56" customFormat="1" ht="19.5" customHeight="1" x14ac:dyDescent="0.25">
      <c r="A12" s="736" t="s">
        <v>254</v>
      </c>
      <c r="B12" s="737"/>
      <c r="C12" s="264"/>
      <c r="D12" s="200"/>
    </row>
    <row r="13" spans="1:5" s="56" customFormat="1" ht="19.5" customHeight="1" x14ac:dyDescent="0.25">
      <c r="A13" s="734" t="s">
        <v>200</v>
      </c>
      <c r="B13" s="735"/>
      <c r="C13" s="202"/>
      <c r="D13" s="202">
        <v>4.0500000000000001E-2</v>
      </c>
    </row>
    <row r="14" spans="1:5" s="56" customFormat="1" ht="19.5" customHeight="1" x14ac:dyDescent="0.25">
      <c r="A14" s="734" t="s">
        <v>211</v>
      </c>
      <c r="B14" s="735"/>
      <c r="C14" s="202"/>
      <c r="D14" s="202">
        <v>2.5000000000000001E-3</v>
      </c>
    </row>
    <row r="15" spans="1:5" s="56" customFormat="1" ht="19.5" customHeight="1" x14ac:dyDescent="0.25">
      <c r="A15" s="769" t="s">
        <v>267</v>
      </c>
      <c r="B15" s="728"/>
      <c r="C15" s="265">
        <v>2.4000000000000001E-4</v>
      </c>
      <c r="D15" s="266">
        <v>3.6000000000000002E-4</v>
      </c>
    </row>
    <row r="16" spans="1:5" s="56" customFormat="1" ht="19.5" customHeight="1" x14ac:dyDescent="0.25">
      <c r="A16" s="770" t="s">
        <v>39</v>
      </c>
      <c r="B16" s="771"/>
      <c r="C16" s="771"/>
      <c r="D16" s="771"/>
    </row>
    <row r="17" spans="1:5" s="56" customFormat="1" ht="19.5" customHeight="1" x14ac:dyDescent="0.25">
      <c r="A17" s="718" t="s">
        <v>40</v>
      </c>
      <c r="B17" s="719"/>
      <c r="C17" s="197">
        <v>6.9000000000000006E-2</v>
      </c>
      <c r="D17" s="197">
        <v>8.5500000000000007E-2</v>
      </c>
    </row>
    <row r="18" spans="1:5" s="56" customFormat="1" ht="19.5" customHeight="1" x14ac:dyDescent="0.25">
      <c r="A18" s="718" t="s">
        <v>41</v>
      </c>
      <c r="B18" s="719"/>
      <c r="C18" s="197">
        <v>4.0000000000000001E-3</v>
      </c>
      <c r="D18" s="670">
        <v>2.1100000000000001E-2</v>
      </c>
    </row>
    <row r="19" spans="1:5" s="56" customFormat="1" ht="19.5" customHeight="1" x14ac:dyDescent="0.25">
      <c r="A19" s="718" t="s">
        <v>42</v>
      </c>
      <c r="B19" s="719"/>
      <c r="C19" s="197">
        <v>3.15E-2</v>
      </c>
      <c r="D19" s="197">
        <v>4.7199999999999999E-2</v>
      </c>
    </row>
    <row r="20" spans="1:5" s="56" customFormat="1" ht="19.5" customHeight="1" x14ac:dyDescent="0.25">
      <c r="A20" s="718" t="s">
        <v>43</v>
      </c>
      <c r="B20" s="719"/>
      <c r="C20" s="197">
        <v>8.6400000000000005E-2</v>
      </c>
      <c r="D20" s="197">
        <v>0.1295</v>
      </c>
    </row>
    <row r="21" spans="1:5" s="56" customFormat="1" ht="19.5" customHeight="1" x14ac:dyDescent="0.25">
      <c r="A21" s="718" t="s">
        <v>73</v>
      </c>
      <c r="B21" s="719"/>
      <c r="C21" s="197">
        <v>8.6E-3</v>
      </c>
      <c r="D21" s="197">
        <v>1.29E-2</v>
      </c>
    </row>
    <row r="22" spans="1:5" s="56" customFormat="1" ht="19.5" customHeight="1" x14ac:dyDescent="0.25">
      <c r="A22" s="718" t="s">
        <v>74</v>
      </c>
      <c r="B22" s="719"/>
      <c r="C22" s="197">
        <v>1.0800000000000001E-2</v>
      </c>
      <c r="D22" s="197">
        <v>1.6199999999999999E-2</v>
      </c>
    </row>
    <row r="23" spans="1:5" s="56" customFormat="1" ht="19.5" customHeight="1" x14ac:dyDescent="0.25">
      <c r="A23" s="718" t="s">
        <v>75</v>
      </c>
      <c r="B23" s="719"/>
      <c r="C23" s="197">
        <v>1.4E-3</v>
      </c>
      <c r="D23" s="197">
        <v>2.0999999999999999E-3</v>
      </c>
    </row>
    <row r="24" spans="1:5" s="56" customFormat="1" ht="19.5" customHeight="1" x14ac:dyDescent="0.25">
      <c r="A24" s="718" t="s">
        <v>76</v>
      </c>
      <c r="B24" s="719"/>
      <c r="C24" s="197">
        <v>1.4E-3</v>
      </c>
      <c r="D24" s="197">
        <v>2.0999999999999999E-3</v>
      </c>
    </row>
    <row r="25" spans="1:5" s="56" customFormat="1" ht="19.5" customHeight="1" x14ac:dyDescent="0.25">
      <c r="A25" s="501"/>
      <c r="B25" s="502"/>
      <c r="C25" s="264"/>
      <c r="D25" s="200"/>
      <c r="E25" s="261"/>
    </row>
    <row r="26" spans="1:5" s="56" customFormat="1" ht="19.5" customHeight="1" x14ac:dyDescent="0.25">
      <c r="A26" s="718" t="s">
        <v>201</v>
      </c>
      <c r="B26" s="719"/>
      <c r="C26" s="32"/>
      <c r="D26" s="197">
        <v>1E-3</v>
      </c>
      <c r="E26" s="261"/>
    </row>
    <row r="27" spans="1:5" s="56" customFormat="1" ht="19.5" customHeight="1" x14ac:dyDescent="0.25">
      <c r="A27" s="742" t="s">
        <v>202</v>
      </c>
      <c r="B27" s="743"/>
      <c r="C27" s="32"/>
      <c r="D27" s="197">
        <v>5.0000000000000001E-3</v>
      </c>
      <c r="E27" s="261"/>
    </row>
    <row r="28" spans="1:5" s="56" customFormat="1" ht="19.5" customHeight="1" x14ac:dyDescent="0.25">
      <c r="A28" s="742" t="s">
        <v>176</v>
      </c>
      <c r="B28" s="743"/>
      <c r="C28" s="32"/>
      <c r="D28" s="197">
        <v>3.2000000000000001E-2</v>
      </c>
      <c r="E28" s="261" t="s">
        <v>418</v>
      </c>
    </row>
    <row r="29" spans="1:5" s="56" customFormat="1" ht="19.5" customHeight="1" x14ac:dyDescent="0.25">
      <c r="A29" s="718" t="s">
        <v>71</v>
      </c>
      <c r="B29" s="719"/>
      <c r="C29" s="32"/>
      <c r="D29" s="197">
        <v>3.0000000000000001E-3</v>
      </c>
      <c r="E29" s="261"/>
    </row>
    <row r="30" spans="1:5" s="56" customFormat="1" ht="19.5" customHeight="1" x14ac:dyDescent="0.25">
      <c r="A30" s="718" t="s">
        <v>46</v>
      </c>
      <c r="B30" s="719"/>
      <c r="C30" s="32"/>
      <c r="D30" s="197">
        <v>0.08</v>
      </c>
      <c r="E30" s="261"/>
    </row>
    <row r="31" spans="1:5" s="56" customFormat="1" ht="19.5" customHeight="1" x14ac:dyDescent="0.25">
      <c r="A31" s="210" t="s">
        <v>213</v>
      </c>
      <c r="B31" s="210"/>
      <c r="C31" s="32"/>
      <c r="D31" s="197">
        <v>0.2</v>
      </c>
      <c r="E31" s="261"/>
    </row>
    <row r="32" spans="1:5" s="56" customFormat="1" ht="15.75" x14ac:dyDescent="0.25">
      <c r="A32" s="718" t="s">
        <v>72</v>
      </c>
      <c r="B32" s="719"/>
      <c r="C32" s="32"/>
      <c r="D32" s="202">
        <v>1.6000000000000001E-4</v>
      </c>
      <c r="E32" s="199"/>
    </row>
    <row r="33" spans="1:5" s="56" customFormat="1" ht="24.75" customHeight="1" x14ac:dyDescent="0.25">
      <c r="A33" s="759" t="s">
        <v>652</v>
      </c>
      <c r="B33" s="719"/>
      <c r="C33" s="29"/>
      <c r="D33" s="523">
        <f>0.68%+1%</f>
        <v>1.6800000000000002E-2</v>
      </c>
      <c r="E33" s="524"/>
    </row>
    <row r="34" spans="1:5" s="56" customFormat="1" ht="24.75" customHeight="1" x14ac:dyDescent="0.25">
      <c r="A34" s="718" t="s">
        <v>653</v>
      </c>
      <c r="B34" s="719"/>
      <c r="C34" s="29"/>
      <c r="D34" s="523">
        <f>0.68%+0.55%</f>
        <v>1.2300000000000002E-2</v>
      </c>
      <c r="E34" s="524"/>
    </row>
    <row r="35" spans="1:5" s="56" customFormat="1" ht="15" customHeight="1" x14ac:dyDescent="0.25">
      <c r="A35" s="718" t="s">
        <v>77</v>
      </c>
      <c r="B35" s="719"/>
      <c r="C35" s="29"/>
      <c r="D35" s="197">
        <v>4.4999999999999997E-3</v>
      </c>
      <c r="E35" s="203"/>
    </row>
    <row r="36" spans="1:5" s="56" customFormat="1" ht="15" customHeight="1" x14ac:dyDescent="0.25">
      <c r="A36" s="772"/>
      <c r="B36" s="773"/>
      <c r="C36" s="264"/>
      <c r="D36" s="200"/>
      <c r="E36" s="203"/>
    </row>
    <row r="37" spans="1:5" s="56" customFormat="1" ht="21" customHeight="1" x14ac:dyDescent="0.25">
      <c r="A37" s="734" t="s">
        <v>48</v>
      </c>
      <c r="B37" s="735"/>
      <c r="C37" s="267">
        <v>6.8000000000000005E-2</v>
      </c>
      <c r="D37" s="204"/>
      <c r="E37" s="454"/>
    </row>
    <row r="38" spans="1:5" s="56" customFormat="1" ht="21" customHeight="1" x14ac:dyDescent="0.25">
      <c r="A38" s="729" t="s">
        <v>49</v>
      </c>
      <c r="B38" s="729"/>
      <c r="C38" s="267">
        <v>2.9000000000000001E-2</v>
      </c>
      <c r="D38" s="204"/>
      <c r="E38" s="199"/>
    </row>
    <row r="39" spans="1:5" s="56" customFormat="1" ht="21" customHeight="1" x14ac:dyDescent="0.25">
      <c r="A39" s="734" t="s">
        <v>50</v>
      </c>
      <c r="B39" s="735"/>
      <c r="C39" s="267">
        <v>6.8000000000000005E-2</v>
      </c>
      <c r="D39" s="204"/>
      <c r="E39" s="199"/>
    </row>
    <row r="40" spans="1:5" s="56" customFormat="1" ht="21" customHeight="1" x14ac:dyDescent="0.25">
      <c r="A40" s="734" t="s">
        <v>51</v>
      </c>
      <c r="B40" s="735"/>
      <c r="C40" s="267">
        <v>6.8000000000000005E-2</v>
      </c>
      <c r="D40" s="204"/>
    </row>
    <row r="41" spans="1:5" s="56" customFormat="1" ht="21" customHeight="1" x14ac:dyDescent="0.25">
      <c r="A41" s="734" t="s">
        <v>52</v>
      </c>
      <c r="B41" s="735"/>
      <c r="C41" s="267">
        <v>2.9000000000000001E-2</v>
      </c>
      <c r="D41" s="204"/>
    </row>
    <row r="42" spans="1:5" s="56" customFormat="1" ht="10.5" customHeight="1" x14ac:dyDescent="0.25">
      <c r="A42" s="766"/>
      <c r="B42" s="767"/>
      <c r="C42" s="767"/>
      <c r="D42" s="768"/>
      <c r="E42" s="35"/>
    </row>
    <row r="43" spans="1:5" s="56" customFormat="1" ht="15" customHeight="1" x14ac:dyDescent="0.25">
      <c r="A43" s="726" t="s">
        <v>255</v>
      </c>
      <c r="B43" s="727"/>
      <c r="C43" s="268"/>
      <c r="D43" s="269"/>
      <c r="E43" s="199"/>
    </row>
    <row r="44" spans="1:5" s="56" customFormat="1" ht="15" customHeight="1" x14ac:dyDescent="0.25">
      <c r="A44" s="728" t="s">
        <v>244</v>
      </c>
      <c r="B44" s="729"/>
      <c r="C44" s="267"/>
      <c r="D44" s="267"/>
      <c r="E44" s="180"/>
    </row>
    <row r="45" spans="1:5" s="56" customFormat="1" ht="15" customHeight="1" x14ac:dyDescent="0.25">
      <c r="A45" s="728" t="s">
        <v>243</v>
      </c>
      <c r="B45" s="729"/>
      <c r="C45" s="267"/>
      <c r="D45" s="267"/>
      <c r="E45" s="180"/>
    </row>
    <row r="46" spans="1:5" s="56" customFormat="1" ht="15" customHeight="1" x14ac:dyDescent="0.25">
      <c r="A46" s="729" t="s">
        <v>197</v>
      </c>
      <c r="B46" s="729"/>
      <c r="C46" s="267"/>
      <c r="D46" s="267">
        <v>1.4999999999999999E-2</v>
      </c>
      <c r="E46" s="180"/>
    </row>
    <row r="47" spans="1:5" s="56" customFormat="1" ht="15" customHeight="1" x14ac:dyDescent="0.25">
      <c r="A47" s="734" t="s">
        <v>198</v>
      </c>
      <c r="B47" s="735"/>
      <c r="C47" s="268"/>
      <c r="D47" s="270"/>
      <c r="E47" s="199"/>
    </row>
    <row r="48" spans="1:5" s="56" customFormat="1" ht="15" customHeight="1" x14ac:dyDescent="0.25">
      <c r="A48" s="734" t="s">
        <v>199</v>
      </c>
      <c r="B48" s="735"/>
      <c r="C48" s="268"/>
      <c r="D48" s="270"/>
      <c r="E48" s="199"/>
    </row>
    <row r="49" spans="1:6" s="56" customFormat="1" ht="8.25" customHeight="1" x14ac:dyDescent="0.25">
      <c r="A49" s="755"/>
      <c r="B49" s="756"/>
      <c r="C49" s="756"/>
      <c r="D49" s="757"/>
      <c r="E49" s="199"/>
    </row>
    <row r="50" spans="1:6" s="56" customFormat="1" ht="15" customHeight="1" x14ac:dyDescent="0.25">
      <c r="A50" s="746" t="s">
        <v>746</v>
      </c>
      <c r="B50" s="747"/>
      <c r="C50" s="460">
        <v>4005</v>
      </c>
      <c r="D50" s="271"/>
      <c r="E50" s="199"/>
    </row>
    <row r="51" spans="1:6" s="56" customFormat="1" x14ac:dyDescent="0.25">
      <c r="A51" s="746" t="s">
        <v>747</v>
      </c>
      <c r="B51" s="747"/>
      <c r="C51" s="206">
        <v>11.88</v>
      </c>
      <c r="D51" s="205"/>
      <c r="E51" s="199"/>
    </row>
    <row r="52" spans="1:6" s="56" customFormat="1" hidden="1" x14ac:dyDescent="0.25">
      <c r="A52" s="746"/>
      <c r="B52" s="747"/>
      <c r="C52" s="206">
        <v>11.88</v>
      </c>
      <c r="D52" s="205"/>
      <c r="E52" s="199"/>
    </row>
    <row r="53" spans="1:6" s="56" customFormat="1" x14ac:dyDescent="0.25">
      <c r="A53" s="456" t="s">
        <v>748</v>
      </c>
      <c r="B53" s="457"/>
      <c r="C53" s="460">
        <v>12.02</v>
      </c>
      <c r="D53" s="205"/>
      <c r="E53" s="199"/>
    </row>
    <row r="54" spans="1:6" s="56" customFormat="1" x14ac:dyDescent="0.25">
      <c r="A54" s="746" t="s">
        <v>421</v>
      </c>
      <c r="B54" s="747"/>
      <c r="C54" s="272"/>
      <c r="D54" s="205"/>
      <c r="E54" s="199"/>
    </row>
    <row r="55" spans="1:6" s="56" customFormat="1" x14ac:dyDescent="0.25">
      <c r="A55" s="746" t="s">
        <v>421</v>
      </c>
      <c r="B55" s="747"/>
      <c r="C55" s="272"/>
      <c r="D55" s="205"/>
      <c r="E55" s="199"/>
    </row>
    <row r="56" spans="1:6" s="56" customFormat="1" x14ac:dyDescent="0.25">
      <c r="A56" s="456" t="s">
        <v>749</v>
      </c>
      <c r="B56" s="457"/>
      <c r="C56" s="272">
        <f>C53*35*52/12</f>
        <v>1823.0333333333331</v>
      </c>
      <c r="D56" s="205"/>
      <c r="E56" s="664">
        <f>ROUND(C53*151.67,2)</f>
        <v>1823.07</v>
      </c>
      <c r="F56" s="56" t="s">
        <v>750</v>
      </c>
    </row>
    <row r="57" spans="1:6" s="56" customFormat="1" hidden="1" x14ac:dyDescent="0.25">
      <c r="A57" s="746"/>
      <c r="B57" s="747"/>
      <c r="C57" s="206"/>
      <c r="D57" s="205"/>
      <c r="E57" s="664"/>
    </row>
    <row r="58" spans="1:6" s="56" customFormat="1" hidden="1" x14ac:dyDescent="0.25">
      <c r="A58" s="744"/>
      <c r="B58" s="745"/>
      <c r="C58" s="461"/>
      <c r="D58" s="198"/>
      <c r="E58" s="664"/>
      <c r="F58" s="462"/>
    </row>
    <row r="59" spans="1:6" s="56" customFormat="1" ht="18.75" customHeight="1" x14ac:dyDescent="0.25">
      <c r="A59" s="744" t="s">
        <v>751</v>
      </c>
      <c r="B59" s="745"/>
      <c r="C59" s="461">
        <f>3*C53*35*52/12</f>
        <v>5469.1000000000013</v>
      </c>
      <c r="D59" s="198"/>
      <c r="E59" s="462">
        <f>ROUND(3*C53*151.67,2)</f>
        <v>5469.22</v>
      </c>
      <c r="F59" s="56" t="s">
        <v>750</v>
      </c>
    </row>
    <row r="60" spans="1:6" s="56" customFormat="1" ht="31.5" customHeight="1" x14ac:dyDescent="0.25">
      <c r="A60" s="734" t="s">
        <v>752</v>
      </c>
      <c r="B60" s="735"/>
      <c r="C60" s="665">
        <v>0.37809999999999999</v>
      </c>
      <c r="D60" s="666">
        <v>0.3821</v>
      </c>
    </row>
    <row r="61" spans="1:6" s="56" customFormat="1" ht="15" customHeight="1" x14ac:dyDescent="0.25">
      <c r="A61" s="716"/>
      <c r="B61" s="716"/>
      <c r="C61" s="716"/>
      <c r="D61" s="717"/>
      <c r="E61" s="213"/>
    </row>
    <row r="62" spans="1:6" s="56" customFormat="1" ht="23.25" customHeight="1" x14ac:dyDescent="0.25">
      <c r="A62" s="734" t="s">
        <v>209</v>
      </c>
      <c r="B62" s="735"/>
      <c r="C62" s="273"/>
      <c r="D62" s="667" t="s">
        <v>753</v>
      </c>
      <c r="E62" s="668"/>
    </row>
    <row r="63" spans="1:6" s="56" customFormat="1" ht="17.25" customHeight="1" x14ac:dyDescent="0.25">
      <c r="A63" s="753" t="s">
        <v>754</v>
      </c>
      <c r="B63" s="754"/>
      <c r="C63" s="273"/>
      <c r="D63" s="667" t="s">
        <v>755</v>
      </c>
      <c r="E63" s="668"/>
    </row>
    <row r="64" spans="1:6" s="56" customFormat="1" ht="18" customHeight="1" x14ac:dyDescent="0.25">
      <c r="A64" s="718" t="s">
        <v>756</v>
      </c>
      <c r="B64" s="719"/>
      <c r="C64" s="669">
        <v>7.32</v>
      </c>
      <c r="D64" s="274"/>
      <c r="E64" s="209"/>
    </row>
    <row r="65" spans="1:5" s="56" customFormat="1" ht="21" customHeight="1" x14ac:dyDescent="0.25">
      <c r="A65" s="718" t="s">
        <v>210</v>
      </c>
      <c r="B65" s="719"/>
      <c r="C65" s="669">
        <v>90.8</v>
      </c>
      <c r="D65" s="274"/>
      <c r="E65" s="209"/>
    </row>
    <row r="66" spans="1:5" s="56" customFormat="1" ht="27" customHeight="1" x14ac:dyDescent="0.25">
      <c r="A66" s="718" t="s">
        <v>757</v>
      </c>
      <c r="B66" s="719"/>
      <c r="C66" s="669">
        <v>748</v>
      </c>
      <c r="D66" s="207"/>
      <c r="E66" s="199"/>
    </row>
    <row r="67" spans="1:5" s="56" customFormat="1" ht="18.75" customHeight="1" x14ac:dyDescent="0.25">
      <c r="A67" s="454"/>
      <c r="B67" s="721" t="s">
        <v>262</v>
      </c>
      <c r="C67" s="721"/>
      <c r="D67" s="722" t="s">
        <v>263</v>
      </c>
      <c r="E67" s="722"/>
    </row>
    <row r="68" spans="1:5" s="56" customFormat="1" ht="18.75" customHeight="1" x14ac:dyDescent="0.25">
      <c r="A68" s="454"/>
      <c r="B68" s="482" t="s">
        <v>256</v>
      </c>
      <c r="C68" s="281" t="s">
        <v>80</v>
      </c>
      <c r="D68" s="281" t="s">
        <v>256</v>
      </c>
      <c r="E68" s="281" t="s">
        <v>80</v>
      </c>
    </row>
    <row r="69" spans="1:5" s="56" customFormat="1" ht="18.75" customHeight="1" x14ac:dyDescent="0.25">
      <c r="A69" s="503" t="s">
        <v>42</v>
      </c>
      <c r="B69" s="504">
        <v>3.15E-2</v>
      </c>
      <c r="C69" s="283">
        <v>4.7199999999999999E-2</v>
      </c>
      <c r="D69" s="282">
        <v>3.15E-2</v>
      </c>
      <c r="E69" s="283">
        <v>4.7199999999999999E-2</v>
      </c>
    </row>
    <row r="70" spans="1:5" s="56" customFormat="1" ht="18.75" customHeight="1" x14ac:dyDescent="0.25">
      <c r="A70" s="503" t="s">
        <v>257</v>
      </c>
      <c r="B70" s="504">
        <v>8.6E-3</v>
      </c>
      <c r="C70" s="282">
        <v>1.29E-2</v>
      </c>
      <c r="D70" s="282">
        <v>8.6E-3</v>
      </c>
      <c r="E70" s="282">
        <v>1.29E-2</v>
      </c>
    </row>
    <row r="71" spans="1:5" s="56" customFormat="1" ht="18.75" customHeight="1" x14ac:dyDescent="0.25">
      <c r="A71" s="503" t="s">
        <v>259</v>
      </c>
      <c r="B71" s="483"/>
      <c r="C71" s="288"/>
      <c r="D71" s="282">
        <v>1.4E-3</v>
      </c>
      <c r="E71" s="282">
        <v>2.0999999999999999E-3</v>
      </c>
    </row>
    <row r="72" spans="1:5" s="56" customFormat="1" ht="35.25" customHeight="1" x14ac:dyDescent="0.25">
      <c r="A72" s="505" t="s">
        <v>264</v>
      </c>
      <c r="B72" s="506">
        <f>+B69+B70</f>
        <v>4.0099999999999997E-2</v>
      </c>
      <c r="C72" s="286">
        <f>+C69+C70</f>
        <v>6.0100000000000001E-2</v>
      </c>
      <c r="D72" s="286">
        <f>SUM(D69:D71)</f>
        <v>4.1499999999999995E-2</v>
      </c>
      <c r="E72" s="286">
        <f>SUM(E69:E71)</f>
        <v>6.2199999999999998E-2</v>
      </c>
    </row>
    <row r="73" spans="1:5" s="56" customFormat="1" ht="27" customHeight="1" x14ac:dyDescent="0.25">
      <c r="A73" s="507"/>
      <c r="B73" s="508"/>
      <c r="C73" s="287"/>
      <c r="D73" s="287"/>
      <c r="E73" s="287"/>
    </row>
    <row r="74" spans="1:5" s="56" customFormat="1" ht="18.75" customHeight="1" x14ac:dyDescent="0.25">
      <c r="A74" s="454"/>
      <c r="B74" s="454"/>
      <c r="C74" s="284"/>
      <c r="D74" s="281" t="s">
        <v>79</v>
      </c>
      <c r="E74" s="285" t="s">
        <v>80</v>
      </c>
    </row>
    <row r="75" spans="1:5" s="56" customFormat="1" ht="18.75" customHeight="1" x14ac:dyDescent="0.25">
      <c r="A75" s="503" t="s">
        <v>43</v>
      </c>
      <c r="B75" s="454"/>
      <c r="C75" s="284"/>
      <c r="D75" s="282">
        <v>8.6400000000000005E-2</v>
      </c>
      <c r="E75" s="282">
        <v>0.1295</v>
      </c>
    </row>
    <row r="76" spans="1:5" s="56" customFormat="1" ht="18.75" customHeight="1" x14ac:dyDescent="0.25">
      <c r="A76" s="503" t="s">
        <v>258</v>
      </c>
      <c r="B76" s="454"/>
      <c r="C76" s="284"/>
      <c r="D76" s="282">
        <v>1.0800000000000001E-2</v>
      </c>
      <c r="E76" s="282">
        <v>1.6199999999999999E-2</v>
      </c>
    </row>
    <row r="77" spans="1:5" s="56" customFormat="1" ht="18.75" customHeight="1" x14ac:dyDescent="0.25">
      <c r="A77" s="503" t="s">
        <v>260</v>
      </c>
      <c r="B77" s="454"/>
      <c r="C77" s="284"/>
      <c r="D77" s="282">
        <v>1.4E-3</v>
      </c>
      <c r="E77" s="282">
        <v>2.0999999999999999E-3</v>
      </c>
    </row>
    <row r="78" spans="1:5" s="56" customFormat="1" ht="33" customHeight="1" x14ac:dyDescent="0.25">
      <c r="A78" s="505" t="s">
        <v>265</v>
      </c>
      <c r="B78" s="454"/>
      <c r="C78" s="284"/>
      <c r="D78" s="286">
        <f>SUM(D75:D77)</f>
        <v>9.8600000000000007E-2</v>
      </c>
      <c r="E78" s="286">
        <f>SUM(E75:E77)</f>
        <v>0.14779999999999999</v>
      </c>
    </row>
    <row r="79" spans="1:5" s="56" customFormat="1" ht="35.25" customHeight="1" x14ac:dyDescent="0.25">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723" t="s">
        <v>693</v>
      </c>
      <c r="B81" s="724"/>
      <c r="C81" s="724"/>
      <c r="D81" s="725"/>
      <c r="E81" s="199"/>
    </row>
    <row r="82" spans="1:8" s="56" customFormat="1" ht="42" customHeight="1" x14ac:dyDescent="0.25">
      <c r="A82" s="751" t="s">
        <v>203</v>
      </c>
      <c r="B82" s="752"/>
      <c r="C82" s="74" t="s">
        <v>422</v>
      </c>
      <c r="D82" s="74" t="s">
        <v>419</v>
      </c>
      <c r="E82" s="199"/>
    </row>
    <row r="83" spans="1:8" s="56" customFormat="1" ht="35.25" customHeight="1" x14ac:dyDescent="0.25">
      <c r="A83" s="748" t="s">
        <v>204</v>
      </c>
      <c r="B83" s="749"/>
      <c r="C83" s="279" t="s">
        <v>205</v>
      </c>
      <c r="D83" s="463">
        <v>3.2000000000000001E-2</v>
      </c>
      <c r="E83" s="199"/>
      <c r="H83"/>
    </row>
    <row r="84" spans="1:8" s="56" customFormat="1" ht="35.25" customHeight="1" x14ac:dyDescent="0.25">
      <c r="A84" s="748" t="s">
        <v>206</v>
      </c>
      <c r="B84" s="749"/>
      <c r="C84" s="279" t="s">
        <v>205</v>
      </c>
      <c r="D84" s="463">
        <v>3.2000000000000001E-2</v>
      </c>
      <c r="E84" s="199"/>
      <c r="H84"/>
    </row>
    <row r="85" spans="1:8" ht="47.25" customHeight="1" x14ac:dyDescent="0.25">
      <c r="A85" s="750" t="s">
        <v>207</v>
      </c>
      <c r="B85" s="750"/>
      <c r="C85" s="279" t="s">
        <v>420</v>
      </c>
      <c r="D85" s="279" t="s">
        <v>420</v>
      </c>
    </row>
    <row r="86" spans="1:8" ht="35.25" customHeight="1" x14ac:dyDescent="0.25">
      <c r="A86" s="720"/>
      <c r="B86" s="720"/>
      <c r="C86" s="464"/>
    </row>
    <row r="87" spans="1:8" ht="35.25" customHeight="1" x14ac:dyDescent="0.25">
      <c r="A87" s="20" t="s">
        <v>208</v>
      </c>
    </row>
    <row r="88" spans="1:8" ht="35.25" customHeight="1" x14ac:dyDescent="0.25">
      <c r="A88" s="199" t="s">
        <v>647</v>
      </c>
    </row>
    <row r="89" spans="1:8" ht="35.25" customHeight="1" x14ac:dyDescent="0.25">
      <c r="B89" s="199"/>
      <c r="C89" s="275"/>
    </row>
  </sheetData>
  <mergeCells count="71">
    <mergeCell ref="A42:D42"/>
    <mergeCell ref="A18:B18"/>
    <mergeCell ref="A19:B19"/>
    <mergeCell ref="A20:B20"/>
    <mergeCell ref="A15:B15"/>
    <mergeCell ref="A16:D16"/>
    <mergeCell ref="A17:B17"/>
    <mergeCell ref="A41:B41"/>
    <mergeCell ref="A21:B21"/>
    <mergeCell ref="A22:B22"/>
    <mergeCell ref="A23:B23"/>
    <mergeCell ref="A24:B24"/>
    <mergeCell ref="A33:B33"/>
    <mergeCell ref="A34:B34"/>
    <mergeCell ref="A35:B35"/>
    <mergeCell ref="A36:B36"/>
    <mergeCell ref="A1:B1"/>
    <mergeCell ref="A2:B2"/>
    <mergeCell ref="A3:B3"/>
    <mergeCell ref="A4:B4"/>
    <mergeCell ref="A5:B5"/>
    <mergeCell ref="E5:E6"/>
    <mergeCell ref="A6:B6"/>
    <mergeCell ref="A7:D7"/>
    <mergeCell ref="A13:B13"/>
    <mergeCell ref="A14:B14"/>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A46:B46"/>
    <mergeCell ref="A59:B59"/>
    <mergeCell ref="A55:B55"/>
    <mergeCell ref="A57:B57"/>
    <mergeCell ref="A58:B58"/>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61:D61"/>
    <mergeCell ref="A66:B66"/>
    <mergeCell ref="A86:B86"/>
    <mergeCell ref="A64:B64"/>
    <mergeCell ref="A65:B65"/>
    <mergeCell ref="B67:C67"/>
    <mergeCell ref="D67:E67"/>
    <mergeCell ref="A81:D81"/>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6" workbookViewId="0">
      <selection activeCell="G47" sqref="G47"/>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1" t="s">
        <v>293</v>
      </c>
    </row>
    <row r="3" spans="3:13" ht="12.75" customHeight="1" x14ac:dyDescent="0.25"/>
    <row r="4" spans="3:13" ht="21.75" customHeight="1" x14ac:dyDescent="0.25">
      <c r="C4" s="372" t="s">
        <v>294</v>
      </c>
      <c r="D4" s="410"/>
      <c r="E4" s="410"/>
      <c r="F4" s="410"/>
      <c r="G4" s="776" t="s">
        <v>673</v>
      </c>
      <c r="H4" s="776"/>
    </row>
    <row r="5" spans="3:13" ht="21.75" customHeight="1" x14ac:dyDescent="0.25">
      <c r="C5" s="373" t="s">
        <v>295</v>
      </c>
      <c r="G5" s="777" t="s">
        <v>675</v>
      </c>
      <c r="H5" s="777"/>
    </row>
    <row r="6" spans="3:13" ht="21.75" customHeight="1" x14ac:dyDescent="0.25">
      <c r="C6" s="373" t="s">
        <v>296</v>
      </c>
      <c r="G6" s="778">
        <v>34464426500029</v>
      </c>
      <c r="H6" s="778"/>
    </row>
    <row r="7" spans="3:13" ht="21.75" customHeight="1" x14ac:dyDescent="0.25">
      <c r="C7" s="373" t="s">
        <v>297</v>
      </c>
      <c r="G7" s="776" t="s">
        <v>701</v>
      </c>
      <c r="H7" s="776"/>
    </row>
    <row r="8" spans="3:13" ht="51.75" customHeight="1" x14ac:dyDescent="0.25">
      <c r="C8" s="373" t="s">
        <v>298</v>
      </c>
      <c r="G8" s="779" t="s">
        <v>284</v>
      </c>
      <c r="H8" s="779"/>
    </row>
    <row r="9" spans="3:13" x14ac:dyDescent="0.25">
      <c r="C9" s="374" t="s">
        <v>299</v>
      </c>
      <c r="D9" s="411"/>
      <c r="E9" s="411"/>
      <c r="F9" s="411"/>
      <c r="G9" s="775">
        <v>60</v>
      </c>
      <c r="H9" s="775"/>
    </row>
    <row r="10" spans="3:13" x14ac:dyDescent="0.25">
      <c r="C10" s="780"/>
      <c r="D10" s="780"/>
      <c r="E10" s="780"/>
      <c r="F10" s="780"/>
      <c r="G10" s="780"/>
      <c r="H10" s="780"/>
    </row>
    <row r="11" spans="3:13" ht="28.5" customHeight="1" x14ac:dyDescent="0.25">
      <c r="C11" s="375"/>
      <c r="D11" s="376"/>
      <c r="E11" s="782" t="s">
        <v>59</v>
      </c>
      <c r="F11" s="782"/>
      <c r="G11" s="377" t="s">
        <v>79</v>
      </c>
      <c r="H11" s="377" t="s">
        <v>80</v>
      </c>
    </row>
    <row r="12" spans="3:13" ht="20.25" customHeight="1" x14ac:dyDescent="0.25">
      <c r="C12" s="781" t="s">
        <v>367</v>
      </c>
      <c r="D12" s="781"/>
      <c r="E12" s="783"/>
      <c r="F12" s="784"/>
      <c r="G12" s="379"/>
      <c r="H12" s="379"/>
      <c r="I12" s="380"/>
      <c r="J12" s="380"/>
      <c r="K12" s="380"/>
      <c r="L12" s="380"/>
      <c r="M12" s="380"/>
    </row>
    <row r="13" spans="3:13" ht="20.25" customHeight="1" x14ac:dyDescent="0.25">
      <c r="C13" s="781" t="s">
        <v>368</v>
      </c>
      <c r="D13" s="781"/>
      <c r="E13" s="781"/>
      <c r="F13" s="781"/>
      <c r="G13" s="379"/>
      <c r="H13" s="379"/>
      <c r="I13" s="380"/>
      <c r="J13" s="380"/>
      <c r="K13" s="380"/>
      <c r="L13" s="380"/>
      <c r="M13" s="380"/>
    </row>
    <row r="14" spans="3:13" ht="20.25" hidden="1" customHeight="1" x14ac:dyDescent="0.25">
      <c r="C14" s="781"/>
      <c r="D14" s="781"/>
      <c r="E14" s="781"/>
      <c r="F14" s="781"/>
      <c r="G14" s="437"/>
      <c r="H14" s="437"/>
      <c r="I14" s="380"/>
      <c r="J14" s="380"/>
      <c r="K14" s="380"/>
      <c r="L14" s="380"/>
      <c r="M14" s="380"/>
    </row>
    <row r="15" spans="3:13" ht="20.25" customHeight="1" x14ac:dyDescent="0.25">
      <c r="C15" s="781" t="s">
        <v>192</v>
      </c>
      <c r="D15" s="781"/>
      <c r="E15" s="781" t="s">
        <v>300</v>
      </c>
      <c r="F15" s="781"/>
      <c r="G15" s="678">
        <v>0.01</v>
      </c>
      <c r="H15" s="678">
        <v>0.02</v>
      </c>
      <c r="I15" s="380"/>
      <c r="J15" s="380"/>
      <c r="K15" s="380"/>
      <c r="L15" s="380"/>
      <c r="M15" s="380"/>
    </row>
    <row r="16" spans="3:13" ht="20.25" customHeight="1" x14ac:dyDescent="0.25">
      <c r="C16" s="781" t="s">
        <v>301</v>
      </c>
      <c r="D16" s="781"/>
      <c r="E16" s="781" t="s">
        <v>300</v>
      </c>
      <c r="F16" s="781"/>
      <c r="G16" s="678">
        <v>0.01</v>
      </c>
      <c r="H16" s="678">
        <v>0.02</v>
      </c>
      <c r="I16" s="380"/>
      <c r="J16" s="380"/>
      <c r="K16" s="380"/>
      <c r="L16" s="380"/>
      <c r="M16" s="380"/>
    </row>
    <row r="17" spans="3:13" ht="20.25" customHeight="1" x14ac:dyDescent="0.25">
      <c r="C17" s="781" t="s">
        <v>375</v>
      </c>
      <c r="D17" s="781"/>
      <c r="E17" s="781"/>
      <c r="F17" s="781"/>
      <c r="G17" s="379"/>
      <c r="H17" s="379"/>
      <c r="I17" s="380"/>
      <c r="J17" s="380"/>
      <c r="K17" s="380"/>
      <c r="L17" s="380"/>
      <c r="M17" s="380"/>
    </row>
    <row r="18" spans="3:13" ht="20.25" customHeight="1" x14ac:dyDescent="0.25">
      <c r="C18" s="781" t="s">
        <v>369</v>
      </c>
      <c r="D18" s="781"/>
      <c r="E18" s="781" t="s">
        <v>370</v>
      </c>
      <c r="F18" s="781"/>
      <c r="G18" s="379"/>
      <c r="H18" s="379">
        <v>1.4999999999999999E-2</v>
      </c>
      <c r="I18" s="380"/>
      <c r="J18" s="380"/>
      <c r="K18" s="380"/>
      <c r="L18" s="380"/>
      <c r="M18" s="380"/>
    </row>
    <row r="19" spans="3:13" ht="20.25" hidden="1" customHeight="1" x14ac:dyDescent="0.25">
      <c r="C19" s="781"/>
      <c r="D19" s="781"/>
      <c r="E19" s="781"/>
      <c r="F19" s="781"/>
      <c r="G19" s="379"/>
      <c r="H19" s="379"/>
      <c r="I19" s="380"/>
      <c r="J19" s="380"/>
      <c r="K19" s="380"/>
      <c r="L19" s="381" t="s">
        <v>302</v>
      </c>
      <c r="M19" s="380"/>
    </row>
    <row r="20" spans="3:13" ht="20.25" hidden="1" customHeight="1" x14ac:dyDescent="0.25">
      <c r="C20" s="781"/>
      <c r="D20" s="781"/>
      <c r="E20" s="783"/>
      <c r="F20" s="784"/>
      <c r="G20" s="379"/>
      <c r="H20" s="379"/>
      <c r="I20" s="380"/>
      <c r="J20" s="380"/>
      <c r="K20" s="380"/>
      <c r="L20" s="381"/>
      <c r="M20" s="380"/>
    </row>
    <row r="21" spans="3:13" ht="20.25" customHeight="1" x14ac:dyDescent="0.25">
      <c r="C21" s="781" t="s">
        <v>303</v>
      </c>
      <c r="D21" s="781"/>
      <c r="E21" s="781" t="s">
        <v>300</v>
      </c>
      <c r="F21" s="781"/>
      <c r="G21" s="379"/>
      <c r="H21" s="437">
        <v>1.4999999999999999E-2</v>
      </c>
      <c r="I21" s="380"/>
      <c r="J21" s="380"/>
      <c r="K21" s="380"/>
      <c r="L21" s="380"/>
      <c r="M21" s="380"/>
    </row>
    <row r="22" spans="3:13" ht="20.25" customHeight="1" x14ac:dyDescent="0.25">
      <c r="C22" s="781" t="s">
        <v>304</v>
      </c>
      <c r="D22" s="781"/>
      <c r="E22" s="781" t="s">
        <v>300</v>
      </c>
      <c r="F22" s="781"/>
      <c r="G22" s="379"/>
      <c r="H22" s="437">
        <v>3.2000000000000001E-2</v>
      </c>
      <c r="I22" s="380"/>
      <c r="J22" s="380"/>
      <c r="K22" s="380"/>
      <c r="L22" s="380"/>
      <c r="M22" s="380"/>
    </row>
    <row r="23" spans="3:13" ht="16.5" customHeight="1" x14ac:dyDescent="0.25">
      <c r="G23" s="382"/>
      <c r="H23" s="382"/>
      <c r="I23" s="380"/>
      <c r="J23" s="380"/>
      <c r="K23" s="380"/>
      <c r="L23" s="380"/>
      <c r="M23" s="380"/>
    </row>
    <row r="24" spans="3:13" x14ac:dyDescent="0.25">
      <c r="G24" s="382"/>
      <c r="H24" s="382"/>
      <c r="I24" s="380"/>
      <c r="J24" s="380"/>
      <c r="K24" s="380"/>
      <c r="L24" s="383"/>
      <c r="M24" s="380"/>
    </row>
    <row r="25" spans="3:13" x14ac:dyDescent="0.25">
      <c r="G25" s="382"/>
      <c r="H25" s="382"/>
      <c r="I25" s="380"/>
      <c r="J25" s="380"/>
      <c r="K25" s="380"/>
      <c r="L25" s="383"/>
      <c r="M25" s="380"/>
    </row>
    <row r="26" spans="3:13" x14ac:dyDescent="0.25">
      <c r="C26" s="372" t="s">
        <v>305</v>
      </c>
      <c r="D26" s="384"/>
      <c r="E26" s="370" t="s">
        <v>189</v>
      </c>
    </row>
    <row r="27" spans="3:13" x14ac:dyDescent="0.25">
      <c r="C27" s="373" t="s">
        <v>306</v>
      </c>
      <c r="D27" s="385"/>
      <c r="E27" s="48" t="s">
        <v>702</v>
      </c>
    </row>
    <row r="28" spans="3:13" x14ac:dyDescent="0.25">
      <c r="C28" s="373" t="s">
        <v>295</v>
      </c>
      <c r="D28" s="385"/>
      <c r="E28" s="626" t="s">
        <v>703</v>
      </c>
    </row>
    <row r="29" spans="3:13" x14ac:dyDescent="0.25">
      <c r="C29" s="373" t="s">
        <v>307</v>
      </c>
      <c r="D29" s="385"/>
      <c r="E29" s="48" t="s">
        <v>784</v>
      </c>
    </row>
    <row r="30" spans="3:13" x14ac:dyDescent="0.25">
      <c r="C30" s="373" t="s">
        <v>308</v>
      </c>
      <c r="D30" s="385"/>
      <c r="E30" s="48">
        <v>250</v>
      </c>
    </row>
    <row r="31" spans="3:13" x14ac:dyDescent="0.25">
      <c r="C31" s="373" t="s">
        <v>309</v>
      </c>
      <c r="D31" s="385"/>
      <c r="E31" s="378" t="s">
        <v>704</v>
      </c>
    </row>
    <row r="32" spans="3:13" x14ac:dyDescent="0.25">
      <c r="C32" s="373" t="s">
        <v>310</v>
      </c>
      <c r="D32" s="385"/>
      <c r="E32" s="433" t="s">
        <v>212</v>
      </c>
      <c r="G32" s="774" t="s">
        <v>798</v>
      </c>
      <c r="H32" s="774"/>
      <c r="M32" s="25" t="s">
        <v>799</v>
      </c>
    </row>
    <row r="33" spans="3:12" x14ac:dyDescent="0.25">
      <c r="C33" s="373" t="s">
        <v>311</v>
      </c>
      <c r="D33" s="385"/>
      <c r="E33" s="433">
        <v>2</v>
      </c>
      <c r="G33" s="774" t="s">
        <v>797</v>
      </c>
      <c r="H33" s="774"/>
      <c r="I33" s="774"/>
      <c r="J33" s="774"/>
      <c r="K33" s="774"/>
      <c r="L33" s="774"/>
    </row>
    <row r="34" spans="3:12" x14ac:dyDescent="0.25">
      <c r="C34" s="374" t="s">
        <v>371</v>
      </c>
      <c r="D34" s="386"/>
      <c r="E34" s="48"/>
    </row>
    <row r="35" spans="3:12" hidden="1" x14ac:dyDescent="0.25"/>
    <row r="36" spans="3:12" x14ac:dyDescent="0.25">
      <c r="E36" s="380"/>
    </row>
    <row r="37" spans="3:12" ht="24" customHeight="1" x14ac:dyDescent="0.25">
      <c r="C37" s="786" t="s">
        <v>81</v>
      </c>
      <c r="D37" s="787"/>
      <c r="E37" s="370" t="s">
        <v>189</v>
      </c>
      <c r="F37" s="380"/>
    </row>
    <row r="38" spans="3:12" ht="24" customHeight="1" x14ac:dyDescent="0.25">
      <c r="C38" s="372" t="s">
        <v>312</v>
      </c>
      <c r="D38" s="384"/>
      <c r="E38" s="434">
        <v>46296</v>
      </c>
      <c r="F38" s="387"/>
    </row>
    <row r="39" spans="3:12" ht="24" customHeight="1" x14ac:dyDescent="0.25">
      <c r="C39" s="373" t="s">
        <v>313</v>
      </c>
      <c r="D39" s="385"/>
      <c r="E39" s="434">
        <v>46326</v>
      </c>
      <c r="F39" s="387"/>
    </row>
    <row r="40" spans="3:12" ht="24" customHeight="1" x14ac:dyDescent="0.25">
      <c r="C40" s="373" t="s">
        <v>314</v>
      </c>
      <c r="D40" s="385"/>
      <c r="E40" s="434">
        <v>46326</v>
      </c>
      <c r="F40" s="387"/>
    </row>
    <row r="41" spans="3:12" ht="24" customHeight="1" x14ac:dyDescent="0.25">
      <c r="C41" s="373" t="s">
        <v>292</v>
      </c>
      <c r="D41" s="385"/>
      <c r="E41" s="435">
        <f>'CORRECTION 2026'!E13</f>
        <v>3000</v>
      </c>
      <c r="F41" s="388"/>
    </row>
    <row r="42" spans="3:12" ht="24" customHeight="1" x14ac:dyDescent="0.25">
      <c r="C42" s="373" t="s">
        <v>291</v>
      </c>
      <c r="D42" s="385"/>
      <c r="E42" s="436">
        <v>151.66999999999999</v>
      </c>
      <c r="F42" s="388"/>
    </row>
    <row r="43" spans="3:12" ht="24" customHeight="1" x14ac:dyDescent="0.25">
      <c r="C43" s="373" t="s">
        <v>282</v>
      </c>
      <c r="D43" s="385"/>
      <c r="E43" s="436">
        <f>+'TABLE DES TAUX 2026 '!C53</f>
        <v>12.02</v>
      </c>
      <c r="F43" s="388"/>
    </row>
    <row r="44" spans="3:12" ht="24" customHeight="1" x14ac:dyDescent="0.25">
      <c r="C44" s="373" t="s">
        <v>315</v>
      </c>
      <c r="D44" s="385"/>
      <c r="E44" s="436">
        <f>'CORRECTION 2026'!E29</f>
        <v>3100.65</v>
      </c>
      <c r="F44" s="388"/>
    </row>
    <row r="45" spans="3:12" ht="19.5" customHeight="1" x14ac:dyDescent="0.25">
      <c r="C45" s="373" t="s">
        <v>372</v>
      </c>
      <c r="D45" s="385"/>
      <c r="E45" s="436">
        <f>10</f>
        <v>10</v>
      </c>
      <c r="F45" s="388"/>
    </row>
    <row r="46" spans="3:12" ht="19.5" customHeight="1" x14ac:dyDescent="0.25">
      <c r="C46" s="373" t="s">
        <v>13</v>
      </c>
      <c r="D46" s="385"/>
      <c r="E46" s="436">
        <f>'CORRECTION 2026'!E31</f>
        <v>125.58</v>
      </c>
      <c r="F46" s="389"/>
      <c r="G46" s="179" t="s">
        <v>829</v>
      </c>
    </row>
    <row r="47" spans="3:12" ht="19.5" customHeight="1" x14ac:dyDescent="0.25">
      <c r="C47" s="373" t="s">
        <v>316</v>
      </c>
      <c r="D47" s="385"/>
      <c r="E47" s="436">
        <v>22</v>
      </c>
      <c r="F47" s="389"/>
    </row>
    <row r="48" spans="3:12" ht="19.5" customHeight="1" x14ac:dyDescent="0.25">
      <c r="C48" s="373" t="s">
        <v>317</v>
      </c>
      <c r="D48" s="385"/>
      <c r="E48" s="436">
        <v>6</v>
      </c>
      <c r="F48" s="390"/>
    </row>
    <row r="49" spans="2:6" ht="19.5" customHeight="1" x14ac:dyDescent="0.25">
      <c r="C49" s="373" t="s">
        <v>318</v>
      </c>
      <c r="D49" s="385"/>
      <c r="E49" s="436">
        <v>6</v>
      </c>
      <c r="F49" s="390"/>
    </row>
    <row r="50" spans="2:6" ht="19.5" customHeight="1" x14ac:dyDescent="0.25">
      <c r="C50" s="373" t="s">
        <v>319</v>
      </c>
      <c r="D50" s="385"/>
      <c r="E50" s="436">
        <v>45.8</v>
      </c>
      <c r="F50" s="390"/>
    </row>
    <row r="51" spans="2:6" ht="19.5" customHeight="1" x14ac:dyDescent="0.25">
      <c r="C51" s="374" t="s">
        <v>373</v>
      </c>
      <c r="D51" s="386"/>
      <c r="E51" s="627"/>
      <c r="F51" s="390"/>
    </row>
    <row r="52" spans="2:6" ht="19.5" hidden="1" customHeight="1" x14ac:dyDescent="0.25">
      <c r="B52" s="371" t="s">
        <v>320</v>
      </c>
      <c r="E52" s="391">
        <v>211</v>
      </c>
    </row>
    <row r="53" spans="2:6" ht="24" hidden="1" customHeight="1" x14ac:dyDescent="0.25"/>
    <row r="54" spans="2:6" ht="24" hidden="1" customHeight="1" x14ac:dyDescent="0.25">
      <c r="C54" s="25" t="s">
        <v>321</v>
      </c>
    </row>
    <row r="55" spans="2:6" ht="24" hidden="1" customHeight="1" x14ac:dyDescent="0.25"/>
    <row r="56" spans="2:6" ht="24" hidden="1" customHeight="1" x14ac:dyDescent="0.25">
      <c r="D56" s="25" t="s">
        <v>322</v>
      </c>
    </row>
    <row r="57" spans="2:6" ht="24" hidden="1" customHeight="1" x14ac:dyDescent="0.25"/>
    <row r="58" spans="2:6" ht="24" hidden="1" customHeight="1" x14ac:dyDescent="0.25">
      <c r="D58" s="25" t="s">
        <v>323</v>
      </c>
    </row>
    <row r="59" spans="2:6" ht="24" hidden="1" customHeight="1" x14ac:dyDescent="0.25"/>
    <row r="60" spans="2:6" ht="24" hidden="1" customHeight="1" x14ac:dyDescent="0.25">
      <c r="C60" s="25" t="s">
        <v>324</v>
      </c>
    </row>
    <row r="61" spans="2:6" ht="24" hidden="1" customHeight="1" x14ac:dyDescent="0.25"/>
    <row r="62" spans="2:6" ht="24" hidden="1" customHeight="1" x14ac:dyDescent="0.25">
      <c r="D62" s="25" t="s">
        <v>325</v>
      </c>
    </row>
    <row r="63" spans="2:6" ht="24" hidden="1" customHeight="1" x14ac:dyDescent="0.25">
      <c r="D63" s="25" t="s">
        <v>326</v>
      </c>
    </row>
    <row r="64" spans="2:6" ht="24" hidden="1" customHeight="1" x14ac:dyDescent="0.25">
      <c r="D64" s="25" t="s">
        <v>327</v>
      </c>
    </row>
    <row r="65" spans="1:11" ht="24" hidden="1" customHeight="1" x14ac:dyDescent="0.25">
      <c r="D65" s="25" t="s">
        <v>328</v>
      </c>
    </row>
    <row r="66" spans="1:11" ht="24" hidden="1" customHeight="1" x14ac:dyDescent="0.25">
      <c r="D66" s="25" t="s">
        <v>329</v>
      </c>
    </row>
    <row r="67" spans="1:11" ht="24" hidden="1" customHeight="1" x14ac:dyDescent="0.25"/>
    <row r="68" spans="1:11" ht="24" hidden="1" customHeight="1" x14ac:dyDescent="0.25">
      <c r="C68" s="25" t="s">
        <v>330</v>
      </c>
    </row>
    <row r="69" spans="1:11" ht="24" hidden="1" customHeight="1" x14ac:dyDescent="0.25">
      <c r="C69" s="25" t="s">
        <v>331</v>
      </c>
    </row>
    <row r="70" spans="1:11" ht="24" hidden="1" customHeight="1" x14ac:dyDescent="0.25"/>
    <row r="71" spans="1:11" ht="24" hidden="1" customHeight="1" x14ac:dyDescent="0.25">
      <c r="D71" s="25" t="s">
        <v>332</v>
      </c>
    </row>
    <row r="72" spans="1:11" ht="24" hidden="1" customHeight="1" x14ac:dyDescent="0.25"/>
    <row r="73" spans="1:11" ht="24" hidden="1" customHeight="1" x14ac:dyDescent="0.25">
      <c r="C73" s="25" t="s">
        <v>333</v>
      </c>
    </row>
    <row r="74" spans="1:11" ht="24" hidden="1" customHeight="1" x14ac:dyDescent="0.25"/>
    <row r="75" spans="1:11" ht="24" hidden="1" customHeight="1" x14ac:dyDescent="0.25">
      <c r="E75" s="378" t="s">
        <v>59</v>
      </c>
      <c r="F75" s="378" t="s">
        <v>334</v>
      </c>
      <c r="G75" s="378" t="s">
        <v>84</v>
      </c>
      <c r="H75" s="378" t="s">
        <v>335</v>
      </c>
      <c r="I75" s="378" t="s">
        <v>78</v>
      </c>
    </row>
    <row r="76" spans="1:11" ht="24" hidden="1" customHeight="1" x14ac:dyDescent="0.25">
      <c r="B76" s="378" t="s">
        <v>336</v>
      </c>
      <c r="C76" s="779" t="s">
        <v>50</v>
      </c>
      <c r="D76" s="779"/>
      <c r="E76" s="392"/>
      <c r="F76" s="393">
        <v>6.8000000000000005E-2</v>
      </c>
      <c r="G76" s="392"/>
      <c r="H76" s="392"/>
      <c r="I76" s="392"/>
      <c r="J76" s="394"/>
      <c r="K76" s="394"/>
    </row>
    <row r="77" spans="1:11" ht="24" hidden="1" customHeight="1" x14ac:dyDescent="0.25">
      <c r="B77" s="378" t="s">
        <v>337</v>
      </c>
      <c r="C77" s="779" t="s">
        <v>51</v>
      </c>
      <c r="D77" s="779"/>
      <c r="E77" s="392"/>
      <c r="F77" s="393">
        <v>6.8000000000000005E-2</v>
      </c>
      <c r="G77" s="392"/>
      <c r="H77" s="392"/>
      <c r="I77" s="392"/>
      <c r="J77" s="394"/>
      <c r="K77" s="394"/>
    </row>
    <row r="78" spans="1:11" ht="24" hidden="1" customHeight="1" x14ac:dyDescent="0.25">
      <c r="B78" s="378" t="s">
        <v>338</v>
      </c>
      <c r="C78" s="779" t="s">
        <v>52</v>
      </c>
      <c r="D78" s="779"/>
      <c r="E78" s="392"/>
      <c r="F78" s="393">
        <v>2.9000000000000001E-2</v>
      </c>
      <c r="G78" s="392"/>
      <c r="H78" s="392"/>
      <c r="I78" s="392"/>
      <c r="J78" s="394"/>
      <c r="K78" s="394"/>
    </row>
    <row r="79" spans="1:11" ht="24" hidden="1" customHeight="1" x14ac:dyDescent="0.25">
      <c r="A79" s="785"/>
      <c r="B79" s="785"/>
      <c r="E79" s="392"/>
      <c r="F79" s="392"/>
      <c r="G79" s="392"/>
      <c r="H79" s="392"/>
      <c r="I79" s="395"/>
      <c r="J79" s="394"/>
      <c r="K79" s="394"/>
    </row>
    <row r="80" spans="1:11" ht="24" hidden="1" customHeight="1" x14ac:dyDescent="0.25">
      <c r="B80" s="378" t="s">
        <v>329</v>
      </c>
      <c r="C80" s="779" t="s">
        <v>53</v>
      </c>
      <c r="D80" s="779"/>
      <c r="E80" s="392"/>
      <c r="F80" s="396"/>
      <c r="G80" s="397"/>
      <c r="H80" s="398"/>
      <c r="I80" s="395"/>
      <c r="J80" s="394"/>
      <c r="K80" s="394"/>
    </row>
    <row r="81" spans="2:11" ht="24" hidden="1" customHeight="1" x14ac:dyDescent="0.25">
      <c r="B81" s="399"/>
      <c r="C81" s="400"/>
      <c r="D81" s="400"/>
      <c r="E81" s="401"/>
      <c r="F81" s="402"/>
      <c r="G81" s="403"/>
      <c r="H81" s="404"/>
      <c r="I81" s="405"/>
      <c r="J81" s="394"/>
      <c r="K81" s="394"/>
    </row>
    <row r="82" spans="2:11" ht="24" hidden="1" customHeight="1" x14ac:dyDescent="0.25">
      <c r="C82" s="25" t="s">
        <v>339</v>
      </c>
    </row>
    <row r="83" spans="2:11" ht="24" hidden="1" customHeight="1" x14ac:dyDescent="0.25"/>
    <row r="84" spans="2:11" ht="24" hidden="1" customHeight="1" x14ac:dyDescent="0.25">
      <c r="D84" s="25" t="s">
        <v>340</v>
      </c>
    </row>
    <row r="85" spans="2:11" ht="24" hidden="1" customHeight="1" x14ac:dyDescent="0.25"/>
    <row r="86" spans="2:11" ht="24" hidden="1" customHeight="1" x14ac:dyDescent="0.25">
      <c r="B86" s="25" t="s">
        <v>341</v>
      </c>
    </row>
    <row r="87" spans="2:11" ht="24" hidden="1" customHeight="1" x14ac:dyDescent="0.25"/>
    <row r="88" spans="2:11" ht="24" hidden="1" customHeight="1" x14ac:dyDescent="0.25">
      <c r="C88" s="25" t="s">
        <v>342</v>
      </c>
    </row>
    <row r="89" spans="2:11" ht="24" hidden="1" customHeight="1" x14ac:dyDescent="0.25"/>
    <row r="90" spans="2:11" ht="24" hidden="1" customHeight="1" x14ac:dyDescent="0.25">
      <c r="D90" s="25" t="s">
        <v>343</v>
      </c>
    </row>
    <row r="91" spans="2:11" ht="24" hidden="1" customHeight="1" x14ac:dyDescent="0.25">
      <c r="D91" s="25" t="s">
        <v>322</v>
      </c>
    </row>
    <row r="92" spans="2:11" ht="24" hidden="1" customHeight="1" x14ac:dyDescent="0.25">
      <c r="D92" s="25" t="s">
        <v>344</v>
      </c>
    </row>
    <row r="93" spans="2:11" ht="24" hidden="1" customHeight="1" x14ac:dyDescent="0.25">
      <c r="D93" s="25" t="s">
        <v>345</v>
      </c>
    </row>
    <row r="94" spans="2:11" ht="24" hidden="1" customHeight="1" x14ac:dyDescent="0.25">
      <c r="D94" s="25" t="s">
        <v>346</v>
      </c>
    </row>
    <row r="95" spans="2:11" ht="24" hidden="1" customHeight="1" x14ac:dyDescent="0.25"/>
    <row r="96" spans="2:11" ht="24" hidden="1" customHeight="1" x14ac:dyDescent="0.25">
      <c r="C96" s="25" t="s">
        <v>347</v>
      </c>
    </row>
    <row r="97" spans="2:5" ht="24" hidden="1" customHeight="1" x14ac:dyDescent="0.25"/>
    <row r="98" spans="2:5" ht="24" hidden="1" customHeight="1" x14ac:dyDescent="0.25">
      <c r="B98" s="371" t="s">
        <v>348</v>
      </c>
      <c r="C98" s="371"/>
    </row>
    <row r="99" spans="2:5" ht="24" hidden="1" customHeight="1" x14ac:dyDescent="0.25"/>
    <row r="100" spans="2:5" ht="24" hidden="1" customHeight="1" x14ac:dyDescent="0.25">
      <c r="C100" s="406" t="s">
        <v>349</v>
      </c>
    </row>
    <row r="101" spans="2:5" ht="24" hidden="1" customHeight="1" x14ac:dyDescent="0.25"/>
    <row r="102" spans="2:5" ht="24" hidden="1" customHeight="1" x14ac:dyDescent="0.25">
      <c r="C102" s="25" t="s">
        <v>350</v>
      </c>
    </row>
    <row r="103" spans="2:5" ht="24" hidden="1" customHeight="1" x14ac:dyDescent="0.25">
      <c r="C103" s="25" t="s">
        <v>351</v>
      </c>
    </row>
    <row r="104" spans="2:5" ht="24" hidden="1" customHeight="1" x14ac:dyDescent="0.25">
      <c r="C104" s="25" t="s">
        <v>352</v>
      </c>
    </row>
    <row r="105" spans="2:5" ht="24" hidden="1" customHeight="1" x14ac:dyDescent="0.25">
      <c r="C105" s="25" t="s">
        <v>353</v>
      </c>
    </row>
    <row r="106" spans="2:5" ht="24" hidden="1" customHeight="1" x14ac:dyDescent="0.25">
      <c r="C106" s="25" t="s">
        <v>354</v>
      </c>
    </row>
    <row r="107" spans="2:5" ht="24" hidden="1" customHeight="1" x14ac:dyDescent="0.25"/>
    <row r="108" spans="2:5" ht="24" hidden="1" customHeight="1" x14ac:dyDescent="0.25"/>
    <row r="109" spans="2:5" ht="24" hidden="1" customHeight="1" x14ac:dyDescent="0.25">
      <c r="B109" s="371" t="s">
        <v>355</v>
      </c>
    </row>
    <row r="110" spans="2:5" ht="24" hidden="1" customHeight="1" x14ac:dyDescent="0.25"/>
    <row r="111" spans="2:5" ht="24" hidden="1" customHeight="1" x14ac:dyDescent="0.25">
      <c r="C111" s="25" t="s">
        <v>356</v>
      </c>
    </row>
    <row r="112" spans="2:5" ht="24" hidden="1" customHeight="1" x14ac:dyDescent="0.25">
      <c r="D112" s="25" t="s">
        <v>357</v>
      </c>
      <c r="E112" s="407">
        <v>2332</v>
      </c>
    </row>
    <row r="113" spans="3:6" ht="24" hidden="1" customHeight="1" x14ac:dyDescent="0.25">
      <c r="D113" s="25" t="s">
        <v>358</v>
      </c>
      <c r="E113" s="407">
        <v>3062</v>
      </c>
    </row>
    <row r="114" spans="3:6" ht="24" hidden="1" customHeight="1" x14ac:dyDescent="0.25"/>
    <row r="115" spans="3:6" ht="24" hidden="1" customHeight="1" x14ac:dyDescent="0.25">
      <c r="C115" s="25" t="s">
        <v>359</v>
      </c>
      <c r="D115" s="25">
        <v>8.3000000000000007</v>
      </c>
    </row>
    <row r="116" spans="3:6" ht="24" hidden="1" customHeight="1" x14ac:dyDescent="0.25">
      <c r="D116" s="25" t="s">
        <v>360</v>
      </c>
    </row>
    <row r="117" spans="3:6" ht="24" hidden="1" customHeight="1" x14ac:dyDescent="0.25">
      <c r="D117" s="25" t="s">
        <v>361</v>
      </c>
      <c r="E117" s="407">
        <f>E30</f>
        <v>250</v>
      </c>
      <c r="F117" s="25">
        <f>E117*D115</f>
        <v>2075</v>
      </c>
    </row>
    <row r="118" spans="3:6" ht="24" hidden="1" customHeight="1" x14ac:dyDescent="0.25">
      <c r="D118" s="25" t="s">
        <v>362</v>
      </c>
      <c r="E118" s="407" t="e">
        <f>#REF!</f>
        <v>#REF!</v>
      </c>
      <c r="F118" s="25" t="e">
        <f>D115*E118</f>
        <v>#REF!</v>
      </c>
    </row>
    <row r="119" spans="3:6" ht="24" hidden="1" customHeight="1" x14ac:dyDescent="0.25"/>
    <row r="120" spans="3:6" ht="24" hidden="1" customHeight="1" x14ac:dyDescent="0.25">
      <c r="E120" s="25" t="s">
        <v>363</v>
      </c>
    </row>
    <row r="121" spans="3:6" ht="24" hidden="1" customHeight="1" x14ac:dyDescent="0.25"/>
    <row r="122" spans="3:6" ht="15.75" hidden="1" customHeight="1" x14ac:dyDescent="0.25"/>
  </sheetData>
  <mergeCells count="38">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33:L33"/>
    <mergeCell ref="G32:H32"/>
    <mergeCell ref="G9:H9"/>
    <mergeCell ref="G4:H4"/>
    <mergeCell ref="G5:H5"/>
    <mergeCell ref="G6:H6"/>
    <mergeCell ref="G7:H7"/>
    <mergeCell ref="G8:H8"/>
    <mergeCell ref="C10:H10"/>
    <mergeCell ref="C14:D14"/>
    <mergeCell ref="E14:F14"/>
    <mergeCell ref="C15:D15"/>
    <mergeCell ref="E15:F15"/>
    <mergeCell ref="E11:F11"/>
    <mergeCell ref="C12:D12"/>
    <mergeCell ref="E12:F12"/>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5"/>
  <sheetViews>
    <sheetView topLeftCell="A9" zoomScale="120" zoomScaleNormal="120" workbookViewId="0">
      <selection activeCell="A77" sqref="A77:B77"/>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798" t="s">
        <v>222</v>
      </c>
      <c r="B1" s="798"/>
      <c r="C1" s="798"/>
      <c r="D1" s="798"/>
      <c r="E1" s="798"/>
      <c r="F1" s="798"/>
      <c r="G1" s="798"/>
      <c r="H1" s="799"/>
      <c r="I1" s="799"/>
      <c r="J1" s="799"/>
    </row>
    <row r="2" spans="1:10" s="24" customFormat="1" ht="15.75" customHeight="1" x14ac:dyDescent="0.3">
      <c r="A2" s="800" t="s">
        <v>0</v>
      </c>
      <c r="B2" s="801"/>
      <c r="C2" s="801"/>
      <c r="D2" s="802"/>
      <c r="E2" s="295"/>
      <c r="F2" s="803" t="s">
        <v>1</v>
      </c>
      <c r="G2" s="804"/>
      <c r="H2" s="804"/>
      <c r="I2" s="804"/>
      <c r="J2" s="805"/>
    </row>
    <row r="3" spans="1:10" s="24" customFormat="1" ht="15.75" customHeight="1" x14ac:dyDescent="0.3">
      <c r="A3" s="296" t="s">
        <v>2</v>
      </c>
      <c r="B3" s="806" t="str">
        <f>'MASQUE DE SAISIE '!G4</f>
        <v xml:space="preserve">ATGR </v>
      </c>
      <c r="C3" s="807"/>
      <c r="D3" s="808"/>
      <c r="E3" s="297"/>
      <c r="F3" s="298" t="s">
        <v>2</v>
      </c>
      <c r="G3" s="793" t="str">
        <f>'MASQUE DE SAISIE '!E26</f>
        <v xml:space="preserve">MARTINO </v>
      </c>
      <c r="H3" s="793"/>
      <c r="I3" s="793"/>
      <c r="J3" s="793"/>
    </row>
    <row r="4" spans="1:10" s="24" customFormat="1" ht="15.75" customHeight="1" x14ac:dyDescent="0.3">
      <c r="A4" s="296" t="s">
        <v>3</v>
      </c>
      <c r="B4" s="806" t="str">
        <f>'MASQUE DE SAISIE '!G5</f>
        <v xml:space="preserve">3 Rue Paul Vaillant Couturier 92300 Levallois-Perret </v>
      </c>
      <c r="C4" s="807"/>
      <c r="D4" s="808"/>
      <c r="E4" s="297"/>
      <c r="F4" s="298" t="s">
        <v>4</v>
      </c>
      <c r="G4" s="793" t="str">
        <f>'MASQUE DE SAISIE '!E27</f>
        <v xml:space="preserve">Hervé </v>
      </c>
      <c r="H4" s="793"/>
      <c r="I4" s="793"/>
      <c r="J4" s="793"/>
    </row>
    <row r="5" spans="1:10" s="24" customFormat="1" ht="15.75" customHeight="1" x14ac:dyDescent="0.3">
      <c r="A5" s="296"/>
      <c r="B5" s="790"/>
      <c r="C5" s="791"/>
      <c r="D5" s="792"/>
      <c r="E5" s="297"/>
      <c r="F5" s="298" t="s">
        <v>5</v>
      </c>
      <c r="G5" s="793" t="str">
        <f>'MASQUE DE SAISIE '!E29</f>
        <v>Responsable  Paie</v>
      </c>
      <c r="H5" s="793"/>
      <c r="I5" s="793"/>
      <c r="J5" s="793"/>
    </row>
    <row r="6" spans="1:10" s="24" customFormat="1" ht="15.75" customHeight="1" x14ac:dyDescent="0.3">
      <c r="A6" s="296" t="s">
        <v>6</v>
      </c>
      <c r="B6" s="794">
        <f>'MASQUE DE SAISIE '!G6</f>
        <v>34464426500029</v>
      </c>
      <c r="C6" s="795"/>
      <c r="D6" s="796"/>
      <c r="E6" s="299"/>
      <c r="F6" s="298" t="s">
        <v>7</v>
      </c>
      <c r="G6" s="793">
        <f>'MASQUE DE SAISIE '!E30</f>
        <v>250</v>
      </c>
      <c r="H6" s="793"/>
      <c r="I6" s="793"/>
      <c r="J6" s="793"/>
    </row>
    <row r="7" spans="1:10" s="24" customFormat="1" ht="15.75" customHeight="1" x14ac:dyDescent="0.3">
      <c r="A7" s="296" t="s">
        <v>8</v>
      </c>
      <c r="B7" s="790" t="str">
        <f>'MASQUE DE SAISIE '!G7</f>
        <v xml:space="preserve">7111C </v>
      </c>
      <c r="C7" s="791"/>
      <c r="D7" s="792"/>
      <c r="E7" s="297"/>
      <c r="F7" s="298" t="s">
        <v>9</v>
      </c>
      <c r="G7" s="797" t="str">
        <f>'MASQUE DE SAISIE '!E31</f>
        <v>1.63.11.59.52.55.</v>
      </c>
      <c r="H7" s="797"/>
      <c r="I7" s="797"/>
      <c r="J7" s="797"/>
    </row>
    <row r="8" spans="1:10" s="24" customFormat="1" ht="15.75" customHeight="1" x14ac:dyDescent="0.3">
      <c r="A8" s="296" t="s">
        <v>10</v>
      </c>
      <c r="B8" s="794"/>
      <c r="C8" s="795"/>
      <c r="D8" s="796"/>
      <c r="E8" s="299"/>
      <c r="F8" s="300" t="s">
        <v>3</v>
      </c>
      <c r="G8" s="793" t="str">
        <f>'MASQUE DE SAISIE '!E28</f>
        <v xml:space="preserve">3 Rue Paul  92700 Colombes </v>
      </c>
      <c r="H8" s="793"/>
      <c r="I8" s="793"/>
      <c r="J8" s="793"/>
    </row>
    <row r="9" spans="1:10" s="24" customFormat="1" ht="15.75" customHeight="1" x14ac:dyDescent="0.3">
      <c r="A9" s="296" t="s">
        <v>11</v>
      </c>
      <c r="B9" s="301">
        <f>'MASQUE DE SAISIE '!G9</f>
        <v>60</v>
      </c>
      <c r="C9" s="812" t="str">
        <f>IF('MASQUE DE SAISIE '!E34 = "","",'MASQUE DE SAISIE '!E34 )</f>
        <v/>
      </c>
      <c r="D9" s="792"/>
      <c r="E9" s="297"/>
      <c r="F9" s="813" t="s">
        <v>12</v>
      </c>
      <c r="G9" s="814"/>
      <c r="H9" s="302"/>
      <c r="I9" s="303">
        <f>'MASQUE DE SAISIE '!E33</f>
        <v>2</v>
      </c>
      <c r="J9" s="303" t="str">
        <f>'MASQUE DE SAISIE '!E32</f>
        <v>C</v>
      </c>
    </row>
    <row r="10" spans="1:10" s="24" customFormat="1" ht="15.75" customHeight="1" x14ac:dyDescent="0.3">
      <c r="A10" s="305" t="s">
        <v>13</v>
      </c>
      <c r="B10" s="306">
        <f>'MASQUE DE SAISIE '!E46</f>
        <v>125.58</v>
      </c>
      <c r="C10" s="303" t="s">
        <v>14</v>
      </c>
      <c r="D10" s="409">
        <f>'MASQUE DE SAISIE '!E43</f>
        <v>12.02</v>
      </c>
      <c r="E10" s="297"/>
      <c r="F10" s="790" t="s">
        <v>223</v>
      </c>
      <c r="G10" s="792"/>
      <c r="H10" s="355">
        <f>'MASQUE DE SAISIE '!E38</f>
        <v>46296</v>
      </c>
      <c r="I10" s="307" t="s">
        <v>15</v>
      </c>
      <c r="J10" s="355">
        <f>'MASQUE DE SAISIE '!E39</f>
        <v>46326</v>
      </c>
    </row>
    <row r="11" spans="1:10" s="24" customFormat="1" ht="33.75" customHeight="1" x14ac:dyDescent="0.3">
      <c r="A11" s="308"/>
      <c r="B11" s="815" t="s">
        <v>284</v>
      </c>
      <c r="C11" s="816"/>
      <c r="D11" s="817"/>
      <c r="E11" s="309"/>
      <c r="F11" s="308" t="s">
        <v>16</v>
      </c>
      <c r="G11" s="356">
        <f>'MASQUE DE SAISIE '!E39</f>
        <v>46326</v>
      </c>
      <c r="H11" s="61"/>
      <c r="I11" s="61"/>
      <c r="J11" s="357"/>
    </row>
    <row r="12" spans="1:10" s="24" customFormat="1" ht="15.75" customHeight="1" x14ac:dyDescent="0.3">
      <c r="A12" s="818"/>
      <c r="B12" s="819"/>
      <c r="C12" s="819"/>
      <c r="D12" s="819"/>
      <c r="E12" s="819"/>
      <c r="F12" s="819"/>
      <c r="G12" s="819"/>
      <c r="H12" s="819"/>
      <c r="I12" s="819"/>
      <c r="J12" s="819"/>
    </row>
    <row r="13" spans="1:10" s="24" customFormat="1" ht="24.75" customHeight="1" x14ac:dyDescent="0.3">
      <c r="A13" s="809" t="s">
        <v>17</v>
      </c>
      <c r="B13" s="810"/>
      <c r="C13" s="810"/>
      <c r="D13" s="810"/>
      <c r="E13" s="810"/>
      <c r="F13" s="811"/>
      <c r="G13" s="311">
        <f>+'MASQUE DE SAISIE '!E42</f>
        <v>151.66999999999999</v>
      </c>
      <c r="H13" s="308" t="s">
        <v>18</v>
      </c>
      <c r="I13" s="312">
        <f>J13/G13</f>
        <v>19.77978505966902</v>
      </c>
      <c r="J13" s="313">
        <f>+'MASQUE DE SAISIE '!E41</f>
        <v>3000</v>
      </c>
    </row>
    <row r="14" spans="1:10" s="24" customFormat="1" ht="24.75" hidden="1" customHeight="1" x14ac:dyDescent="0.3">
      <c r="A14" s="809" t="s">
        <v>639</v>
      </c>
      <c r="B14" s="810"/>
      <c r="C14" s="810"/>
      <c r="D14" s="810"/>
      <c r="E14" s="810"/>
      <c r="F14" s="811"/>
      <c r="G14" s="308"/>
      <c r="H14" s="308"/>
      <c r="I14" s="312"/>
      <c r="J14" s="313"/>
    </row>
    <row r="15" spans="1:10" s="24" customFormat="1" ht="24.75" hidden="1" customHeight="1" x14ac:dyDescent="0.3">
      <c r="A15" s="809" t="s">
        <v>383</v>
      </c>
      <c r="B15" s="810"/>
      <c r="C15" s="810"/>
      <c r="D15" s="810"/>
      <c r="E15" s="810"/>
      <c r="F15" s="811"/>
      <c r="G15" s="314"/>
      <c r="H15" s="315"/>
      <c r="I15" s="312"/>
      <c r="J15" s="313"/>
    </row>
    <row r="16" spans="1:10" s="24" customFormat="1" ht="24.75" hidden="1" customHeight="1" x14ac:dyDescent="0.3">
      <c r="A16" s="809" t="s">
        <v>384</v>
      </c>
      <c r="B16" s="810"/>
      <c r="C16" s="810"/>
      <c r="D16" s="810"/>
      <c r="E16" s="810"/>
      <c r="F16" s="811"/>
      <c r="G16" s="314"/>
      <c r="H16" s="315"/>
      <c r="I16" s="312"/>
      <c r="J16" s="313"/>
    </row>
    <row r="17" spans="1:10" s="24" customFormat="1" ht="24" customHeight="1" x14ac:dyDescent="0.3">
      <c r="A17" s="809" t="s">
        <v>821</v>
      </c>
      <c r="B17" s="810"/>
      <c r="C17" s="810"/>
      <c r="D17" s="810"/>
      <c r="E17" s="810"/>
      <c r="F17" s="811"/>
      <c r="G17" s="314"/>
      <c r="H17" s="315" t="s">
        <v>18</v>
      </c>
      <c r="I17" s="312"/>
      <c r="J17" s="313">
        <f>'CORRECTION 2026'!E27</f>
        <v>119.55000000000001</v>
      </c>
    </row>
    <row r="18" spans="1:10" s="24" customFormat="1" ht="16.5" hidden="1" customHeight="1" x14ac:dyDescent="0.3">
      <c r="A18" s="809" t="s">
        <v>225</v>
      </c>
      <c r="B18" s="810"/>
      <c r="C18" s="810"/>
      <c r="D18" s="810"/>
      <c r="E18" s="810"/>
      <c r="F18" s="811"/>
      <c r="G18" s="314"/>
      <c r="H18" s="315" t="s">
        <v>18</v>
      </c>
      <c r="I18" s="312"/>
      <c r="J18" s="313">
        <f>ROUND(G18*I18,2)</f>
        <v>0</v>
      </c>
    </row>
    <row r="19" spans="1:10" s="24" customFormat="1" ht="25.5" hidden="1" customHeight="1" x14ac:dyDescent="0.3">
      <c r="A19" s="809" t="s">
        <v>226</v>
      </c>
      <c r="B19" s="810"/>
      <c r="C19" s="810"/>
      <c r="D19" s="810"/>
      <c r="E19" s="810"/>
      <c r="F19" s="811"/>
      <c r="G19" s="311"/>
      <c r="H19" s="315" t="s">
        <v>18</v>
      </c>
      <c r="I19" s="312">
        <f>(J13+J17+J14)*1.25/G13</f>
        <v>25.710011867871039</v>
      </c>
      <c r="J19" s="313">
        <f>ROUND(G19*I19,2)</f>
        <v>0</v>
      </c>
    </row>
    <row r="20" spans="1:10" s="24" customFormat="1" ht="25.5" hidden="1" customHeight="1" x14ac:dyDescent="0.3">
      <c r="A20" s="809" t="s">
        <v>227</v>
      </c>
      <c r="B20" s="810"/>
      <c r="C20" s="810"/>
      <c r="D20" s="810"/>
      <c r="E20" s="810"/>
      <c r="F20" s="811"/>
      <c r="G20" s="314"/>
      <c r="H20" s="315" t="s">
        <v>18</v>
      </c>
      <c r="I20" s="312"/>
      <c r="J20" s="313">
        <f>ROUND(G20*I20,2)</f>
        <v>0</v>
      </c>
    </row>
    <row r="21" spans="1:10" s="24" customFormat="1" ht="23.25" customHeight="1" x14ac:dyDescent="0.3">
      <c r="A21" s="809" t="s">
        <v>228</v>
      </c>
      <c r="B21" s="810"/>
      <c r="C21" s="810"/>
      <c r="D21" s="810"/>
      <c r="E21" s="810"/>
      <c r="F21" s="811"/>
      <c r="G21" s="429">
        <f>'MASQUE DE SAISIE '!E45</f>
        <v>10</v>
      </c>
      <c r="H21" s="315" t="s">
        <v>18</v>
      </c>
      <c r="I21" s="312">
        <f>ROUND(((J13+J14+J16+J17)*1.25/G13),6)</f>
        <v>25.710011999999999</v>
      </c>
      <c r="J21" s="313">
        <f>ROUND(G21*I21,2)</f>
        <v>257.10000000000002</v>
      </c>
    </row>
    <row r="22" spans="1:10" s="24" customFormat="1" ht="24.75" hidden="1" customHeight="1" x14ac:dyDescent="0.3">
      <c r="A22" s="809" t="s">
        <v>229</v>
      </c>
      <c r="B22" s="810"/>
      <c r="C22" s="810"/>
      <c r="D22" s="810"/>
      <c r="E22" s="810"/>
      <c r="F22" s="811"/>
      <c r="G22" s="314"/>
      <c r="H22" s="315" t="s">
        <v>20</v>
      </c>
      <c r="I22" s="308"/>
      <c r="J22" s="313"/>
    </row>
    <row r="23" spans="1:10" s="24" customFormat="1" ht="24.75" customHeight="1" x14ac:dyDescent="0.3">
      <c r="A23" s="809" t="s">
        <v>824</v>
      </c>
      <c r="B23" s="810"/>
      <c r="C23" s="810"/>
      <c r="D23" s="810"/>
      <c r="E23" s="810"/>
      <c r="F23" s="811"/>
      <c r="G23" s="310"/>
      <c r="H23" s="316"/>
      <c r="I23" s="304"/>
      <c r="J23" s="317">
        <f>'CORRECTION 2026'!E15</f>
        <v>-681.81818181818187</v>
      </c>
    </row>
    <row r="24" spans="1:10" s="24" customFormat="1" ht="24.75" hidden="1" customHeight="1" x14ac:dyDescent="0.3">
      <c r="A24" s="809" t="s">
        <v>21</v>
      </c>
      <c r="B24" s="810"/>
      <c r="C24" s="810"/>
      <c r="D24" s="810"/>
      <c r="E24" s="810"/>
      <c r="F24" s="811"/>
      <c r="G24" s="310"/>
      <c r="H24" s="316"/>
      <c r="I24" s="304"/>
      <c r="J24" s="317"/>
    </row>
    <row r="25" spans="1:10" s="24" customFormat="1" ht="24.75" hidden="1" customHeight="1" x14ac:dyDescent="0.3">
      <c r="A25" s="809" t="s">
        <v>22</v>
      </c>
      <c r="B25" s="810"/>
      <c r="C25" s="810"/>
      <c r="D25" s="810"/>
      <c r="E25" s="810"/>
      <c r="F25" s="811"/>
      <c r="G25" s="310"/>
      <c r="H25" s="316"/>
      <c r="I25" s="304"/>
      <c r="J25" s="317"/>
    </row>
    <row r="26" spans="1:10" s="24" customFormat="1" ht="24.75" hidden="1" customHeight="1" x14ac:dyDescent="0.3">
      <c r="A26" s="820" t="s">
        <v>23</v>
      </c>
      <c r="B26" s="821"/>
      <c r="C26" s="821"/>
      <c r="D26" s="821"/>
      <c r="E26" s="821"/>
      <c r="F26" s="822"/>
      <c r="G26" s="310"/>
      <c r="H26" s="316"/>
      <c r="I26" s="304"/>
      <c r="J26" s="317"/>
    </row>
    <row r="27" spans="1:10" s="24" customFormat="1" ht="24.75" hidden="1" customHeight="1" x14ac:dyDescent="0.3">
      <c r="A27" s="820" t="s">
        <v>24</v>
      </c>
      <c r="B27" s="821"/>
      <c r="C27" s="821"/>
      <c r="D27" s="821"/>
      <c r="E27" s="821"/>
      <c r="F27" s="822"/>
      <c r="G27" s="310"/>
      <c r="H27" s="316"/>
      <c r="I27" s="304"/>
      <c r="J27" s="317"/>
    </row>
    <row r="28" spans="1:10" s="24" customFormat="1" ht="24.75" hidden="1" customHeight="1" x14ac:dyDescent="0.3">
      <c r="A28" s="820" t="s">
        <v>25</v>
      </c>
      <c r="B28" s="821"/>
      <c r="C28" s="821"/>
      <c r="D28" s="821"/>
      <c r="E28" s="821"/>
      <c r="F28" s="822"/>
      <c r="G28" s="310"/>
      <c r="H28" s="316"/>
      <c r="I28" s="304"/>
      <c r="J28" s="317"/>
    </row>
    <row r="29" spans="1:10" s="24" customFormat="1" ht="24.75" hidden="1" customHeight="1" x14ac:dyDescent="0.3">
      <c r="A29" s="820" t="s">
        <v>26</v>
      </c>
      <c r="B29" s="821"/>
      <c r="C29" s="821"/>
      <c r="D29" s="821"/>
      <c r="E29" s="821"/>
      <c r="F29" s="822"/>
      <c r="G29" s="310"/>
      <c r="H29" s="316"/>
      <c r="I29" s="304"/>
      <c r="J29" s="317"/>
    </row>
    <row r="30" spans="1:10" s="24" customFormat="1" ht="24.75" hidden="1" customHeight="1" x14ac:dyDescent="0.3">
      <c r="A30" s="820" t="s">
        <v>27</v>
      </c>
      <c r="B30" s="821"/>
      <c r="C30" s="821"/>
      <c r="D30" s="821"/>
      <c r="E30" s="821"/>
      <c r="F30" s="822"/>
      <c r="G30" s="310"/>
      <c r="H30" s="316"/>
      <c r="I30" s="304"/>
      <c r="J30" s="317"/>
    </row>
    <row r="31" spans="1:10" s="24" customFormat="1" ht="24.75" hidden="1" customHeight="1" x14ac:dyDescent="0.3">
      <c r="A31" s="820" t="s">
        <v>28</v>
      </c>
      <c r="B31" s="821"/>
      <c r="C31" s="821"/>
      <c r="D31" s="821"/>
      <c r="E31" s="821"/>
      <c r="F31" s="822"/>
      <c r="G31" s="310"/>
      <c r="H31" s="316"/>
      <c r="I31" s="304"/>
      <c r="J31" s="317"/>
    </row>
    <row r="32" spans="1:10" s="24" customFormat="1" ht="24.75" hidden="1" customHeight="1" x14ac:dyDescent="0.3">
      <c r="A32" s="820"/>
      <c r="B32" s="821"/>
      <c r="C32" s="821"/>
      <c r="D32" s="821"/>
      <c r="E32" s="821"/>
      <c r="F32" s="822"/>
      <c r="G32" s="310"/>
      <c r="H32" s="316"/>
      <c r="I32" s="304"/>
      <c r="J32" s="317"/>
    </row>
    <row r="33" spans="1:16" s="24" customFormat="1" ht="24.75" customHeight="1" x14ac:dyDescent="0.3">
      <c r="A33" s="827" t="s">
        <v>29</v>
      </c>
      <c r="B33" s="828"/>
      <c r="C33" s="318">
        <f>'MASQUE DE SAISIE '!E44</f>
        <v>3100.65</v>
      </c>
      <c r="D33" s="829" t="s">
        <v>30</v>
      </c>
      <c r="E33" s="830"/>
      <c r="F33" s="830"/>
      <c r="G33" s="830"/>
      <c r="H33" s="830"/>
      <c r="I33" s="831"/>
      <c r="J33" s="430">
        <f>SUM(J13:J32)</f>
        <v>2694.8318181818181</v>
      </c>
    </row>
    <row r="34" spans="1:16" s="20" customFormat="1" ht="24" customHeight="1" x14ac:dyDescent="0.2">
      <c r="A34" s="832" t="s">
        <v>31</v>
      </c>
      <c r="B34" s="832"/>
      <c r="C34" s="54" t="s">
        <v>32</v>
      </c>
      <c r="D34" s="358" t="s">
        <v>33</v>
      </c>
      <c r="E34" s="358" t="s">
        <v>34</v>
      </c>
      <c r="F34" s="359" t="s">
        <v>35</v>
      </c>
      <c r="G34" s="359" t="s">
        <v>36</v>
      </c>
      <c r="I34" s="21"/>
      <c r="J34" s="21"/>
      <c r="K34" s="22"/>
    </row>
    <row r="35" spans="1:16" ht="12" customHeight="1" x14ac:dyDescent="0.25">
      <c r="A35" s="833" t="s">
        <v>37</v>
      </c>
      <c r="B35" s="833"/>
      <c r="C35" s="1"/>
      <c r="D35" s="3"/>
      <c r="E35" s="3"/>
      <c r="F35" s="1"/>
      <c r="G35" s="1"/>
    </row>
    <row r="36" spans="1:16" ht="24.75" customHeight="1" x14ac:dyDescent="0.25">
      <c r="A36" s="764" t="s">
        <v>758</v>
      </c>
      <c r="B36" s="765"/>
      <c r="C36" s="13">
        <f>J33</f>
        <v>2694.8318181818181</v>
      </c>
      <c r="D36" s="33"/>
      <c r="E36" s="34">
        <f xml:space="preserve"> VLOOKUP(A36,TAUX2023,4,FALSE)</f>
        <v>0.13</v>
      </c>
      <c r="F36" s="40">
        <f>ROUND(C36*D36,2)</f>
        <v>0</v>
      </c>
      <c r="G36" s="40">
        <f>ROUND(C36*E36,2)</f>
        <v>350.33</v>
      </c>
      <c r="H36" s="479"/>
      <c r="I36" s="479"/>
      <c r="J36" s="2"/>
      <c r="O36" s="823"/>
      <c r="P36" s="823"/>
    </row>
    <row r="37" spans="1:16" ht="24.75" hidden="1" customHeight="1" x14ac:dyDescent="0.25">
      <c r="A37" s="824"/>
      <c r="B37" s="824"/>
      <c r="C37" s="39"/>
      <c r="D37" s="163"/>
      <c r="E37" s="34"/>
      <c r="F37" s="40"/>
      <c r="G37" s="13"/>
      <c r="H37" s="479"/>
      <c r="I37" s="479"/>
      <c r="O37" s="823"/>
      <c r="P37" s="823"/>
    </row>
    <row r="38" spans="1:16" ht="24.75" customHeight="1" x14ac:dyDescent="0.3">
      <c r="A38" s="825" t="s">
        <v>192</v>
      </c>
      <c r="B38" s="826"/>
      <c r="C38" s="13">
        <f>IF(I9=2,J33,0)</f>
        <v>2694.8318181818181</v>
      </c>
      <c r="D38" s="33">
        <f>'MASQUE DE SAISIE '!G15</f>
        <v>0.01</v>
      </c>
      <c r="E38" s="33">
        <f>'MASQUE DE SAISIE '!H15</f>
        <v>0.02</v>
      </c>
      <c r="F38" s="40">
        <f t="shared" ref="F38:F67" si="0">ROUND(C38*D38,2)</f>
        <v>26.95</v>
      </c>
      <c r="G38" s="13">
        <f t="shared" ref="G38:G43" si="1">ROUND(C38*E38,2)</f>
        <v>53.9</v>
      </c>
      <c r="H38" s="24"/>
      <c r="I38" s="2"/>
      <c r="O38" s="823"/>
      <c r="P38" s="823"/>
    </row>
    <row r="39" spans="1:16" ht="24.75" hidden="1" customHeight="1" x14ac:dyDescent="0.3">
      <c r="A39" s="825" t="s">
        <v>239</v>
      </c>
      <c r="B39" s="826"/>
      <c r="C39" s="40">
        <f>IF(I9=2,0,J33)</f>
        <v>0</v>
      </c>
      <c r="D39" s="33">
        <f>'MASQUE DE SAISIE '!G12</f>
        <v>0</v>
      </c>
      <c r="E39" s="33">
        <f>'MASQUE DE SAISIE '!H12</f>
        <v>0</v>
      </c>
      <c r="F39" s="40">
        <f t="shared" si="0"/>
        <v>0</v>
      </c>
      <c r="G39" s="13">
        <f t="shared" si="1"/>
        <v>0</v>
      </c>
      <c r="H39" s="24"/>
      <c r="I39" s="2"/>
      <c r="O39" s="823"/>
      <c r="P39" s="823"/>
    </row>
    <row r="40" spans="1:16" ht="24.75" hidden="1" customHeight="1" x14ac:dyDescent="0.3">
      <c r="A40" s="825" t="s">
        <v>243</v>
      </c>
      <c r="B40" s="826"/>
      <c r="C40" s="40">
        <f>C39</f>
        <v>0</v>
      </c>
      <c r="D40" s="33">
        <f>'MASQUE DE SAISIE '!G13</f>
        <v>0</v>
      </c>
      <c r="E40" s="33">
        <f>'MASQUE DE SAISIE '!H13</f>
        <v>0</v>
      </c>
      <c r="F40" s="40">
        <f t="shared" si="0"/>
        <v>0</v>
      </c>
      <c r="G40" s="13">
        <f t="shared" si="1"/>
        <v>0</v>
      </c>
      <c r="H40" s="24"/>
      <c r="I40" s="2"/>
      <c r="O40" s="823"/>
      <c r="P40" s="823"/>
    </row>
    <row r="41" spans="1:16" ht="24.75" customHeight="1" x14ac:dyDescent="0.3">
      <c r="A41" s="825" t="s">
        <v>244</v>
      </c>
      <c r="B41" s="826"/>
      <c r="C41" s="13">
        <f>C38</f>
        <v>2694.8318181818181</v>
      </c>
      <c r="D41" s="33">
        <f>'MASQUE DE SAISIE '!G16</f>
        <v>0.01</v>
      </c>
      <c r="E41" s="33">
        <f>+'MASQUE DE SAISIE '!H16</f>
        <v>0.02</v>
      </c>
      <c r="F41" s="40">
        <f t="shared" si="0"/>
        <v>26.95</v>
      </c>
      <c r="G41" s="13">
        <f t="shared" si="1"/>
        <v>53.9</v>
      </c>
      <c r="H41" s="475"/>
      <c r="I41" s="24"/>
      <c r="J41" s="42"/>
      <c r="O41" s="823"/>
      <c r="P41" s="823"/>
    </row>
    <row r="42" spans="1:16" ht="24.75" hidden="1" customHeight="1" x14ac:dyDescent="0.3">
      <c r="A42" s="824" t="s">
        <v>197</v>
      </c>
      <c r="B42" s="824"/>
      <c r="C42" s="40">
        <f>IF(I9=2,IF(E41=0,IF(J33&gt;C33,C33,J33),0),0)</f>
        <v>0</v>
      </c>
      <c r="D42" s="33"/>
      <c r="E42" s="34">
        <f>'MASQUE DE SAISIE '!H18</f>
        <v>1.4999999999999999E-2</v>
      </c>
      <c r="F42" s="40">
        <f>ROUND(C42*D42,2)</f>
        <v>0</v>
      </c>
      <c r="G42" s="13">
        <f t="shared" si="1"/>
        <v>0</v>
      </c>
      <c r="H42" s="475"/>
      <c r="I42" s="24"/>
      <c r="J42" s="42"/>
      <c r="O42" s="178"/>
      <c r="P42" s="178"/>
    </row>
    <row r="43" spans="1:16" ht="24.75" hidden="1" customHeight="1" x14ac:dyDescent="0.3">
      <c r="A43" s="835" t="s">
        <v>377</v>
      </c>
      <c r="B43" s="835"/>
      <c r="C43" s="211">
        <f>J33</f>
        <v>2694.8318181818181</v>
      </c>
      <c r="D43" s="33">
        <f>'MASQUE DE SAISIE '!G17</f>
        <v>0</v>
      </c>
      <c r="E43" s="34">
        <f>+'MASQUE DE SAISIE '!H17</f>
        <v>0</v>
      </c>
      <c r="F43" s="40">
        <f>ROUND(C43*D43,2)</f>
        <v>0</v>
      </c>
      <c r="G43" s="13">
        <f t="shared" si="1"/>
        <v>0</v>
      </c>
      <c r="H43" s="475"/>
      <c r="I43" s="24"/>
      <c r="J43" s="42"/>
      <c r="O43" s="178"/>
      <c r="P43" s="178"/>
    </row>
    <row r="44" spans="1:16" ht="24.75" hidden="1" customHeight="1" x14ac:dyDescent="0.3">
      <c r="A44" s="836"/>
      <c r="B44" s="837"/>
      <c r="C44" s="4"/>
      <c r="D44" s="4"/>
      <c r="E44" s="4"/>
      <c r="F44" s="4"/>
      <c r="G44" s="4"/>
      <c r="H44" s="475"/>
      <c r="I44" s="24"/>
      <c r="J44" s="24"/>
      <c r="O44" s="823"/>
      <c r="P44" s="823"/>
    </row>
    <row r="45" spans="1:16" ht="24.75" hidden="1" customHeight="1" x14ac:dyDescent="0.3">
      <c r="A45" s="834"/>
      <c r="B45" s="834"/>
      <c r="C45" s="13"/>
      <c r="D45" s="33"/>
      <c r="E45" s="34"/>
      <c r="F45" s="40"/>
      <c r="G45" s="13"/>
      <c r="H45" s="475"/>
      <c r="I45" s="24"/>
      <c r="J45" s="24"/>
      <c r="O45" s="823"/>
      <c r="P45" s="823"/>
    </row>
    <row r="46" spans="1:16" ht="24.75" hidden="1" customHeight="1" x14ac:dyDescent="0.3">
      <c r="A46" s="834"/>
      <c r="B46" s="834"/>
      <c r="C46" s="13"/>
      <c r="D46" s="33"/>
      <c r="E46" s="34"/>
      <c r="F46" s="40"/>
      <c r="G46" s="13"/>
      <c r="H46" s="475"/>
      <c r="I46" s="24"/>
      <c r="J46" s="24"/>
      <c r="O46" s="823"/>
      <c r="P46" s="823"/>
    </row>
    <row r="47" spans="1:16" ht="24.75" customHeight="1" x14ac:dyDescent="0.25">
      <c r="A47" s="840" t="s">
        <v>38</v>
      </c>
      <c r="B47" s="840"/>
      <c r="C47" s="15">
        <f>J33</f>
        <v>2694.8318181818181</v>
      </c>
      <c r="D47" s="33"/>
      <c r="E47" s="34">
        <f>'MASQUE DE SAISIE '!H21</f>
        <v>1.4999999999999999E-2</v>
      </c>
      <c r="F47" s="40">
        <f t="shared" si="0"/>
        <v>0</v>
      </c>
      <c r="G47" s="13">
        <f>ROUND(C47*E47,2)</f>
        <v>40.42</v>
      </c>
      <c r="H47" s="475"/>
      <c r="L47" s="841"/>
    </row>
    <row r="48" spans="1:16" ht="24.75" customHeight="1" x14ac:dyDescent="0.25">
      <c r="A48" s="840" t="s">
        <v>39</v>
      </c>
      <c r="B48" s="840"/>
      <c r="C48" s="16"/>
      <c r="D48" s="33"/>
      <c r="E48" s="34"/>
      <c r="F48" s="40"/>
      <c r="G48" s="13"/>
      <c r="H48" s="475"/>
      <c r="L48" s="841"/>
    </row>
    <row r="49" spans="1:17" ht="16.899999999999999" customHeight="1" x14ac:dyDescent="0.25">
      <c r="A49" s="835" t="s">
        <v>40</v>
      </c>
      <c r="B49" s="835"/>
      <c r="C49" s="40">
        <f>IF(J33&gt;C33,C33,J33)</f>
        <v>2694.8318181818181</v>
      </c>
      <c r="D49" s="33">
        <f>VLOOKUP(A49,TAUX2023,3,FALSE)</f>
        <v>6.9000000000000006E-2</v>
      </c>
      <c r="E49" s="34">
        <f xml:space="preserve"> VLOOKUP(A49,TAUX2023,4,FALSE)</f>
        <v>8.5500000000000007E-2</v>
      </c>
      <c r="F49" s="40">
        <f t="shared" si="0"/>
        <v>185.94</v>
      </c>
      <c r="G49" s="13">
        <f>ROUND(C49*E49,2)</f>
        <v>230.41</v>
      </c>
      <c r="H49" s="475"/>
      <c r="I49" s="476"/>
      <c r="J49" s="476"/>
    </row>
    <row r="50" spans="1:17" ht="16.899999999999999" customHeight="1" x14ac:dyDescent="0.25">
      <c r="A50" s="835" t="s">
        <v>41</v>
      </c>
      <c r="B50" s="835"/>
      <c r="C50" s="13">
        <f>J33</f>
        <v>2694.8318181818181</v>
      </c>
      <c r="D50" s="33">
        <f>VLOOKUP(A50,TAUX2023,3,FALSE)</f>
        <v>4.0000000000000001E-3</v>
      </c>
      <c r="E50" s="34">
        <f xml:space="preserve"> VLOOKUP(A50,TAUX2023,4,FALSE)</f>
        <v>2.1100000000000001E-2</v>
      </c>
      <c r="F50" s="40">
        <f t="shared" si="0"/>
        <v>10.78</v>
      </c>
      <c r="G50" s="13">
        <f>ROUND(C50*E50,2)</f>
        <v>56.86</v>
      </c>
      <c r="H50" s="479"/>
      <c r="I50" s="479"/>
      <c r="J50" s="476"/>
    </row>
    <row r="51" spans="1:17" ht="16.5" customHeight="1" x14ac:dyDescent="0.25">
      <c r="A51" s="835" t="s">
        <v>42</v>
      </c>
      <c r="B51" s="835"/>
      <c r="C51" s="13">
        <f>IF(J33&gt;C33,C33,J33)</f>
        <v>2694.8318181818181</v>
      </c>
      <c r="D51" s="163">
        <f>IF(J33&gt;C33,'TABLE DES TAUX 2026 '!D72,'TABLE DES TAUX 2026 '!B72)</f>
        <v>4.0099999999999997E-2</v>
      </c>
      <c r="E51" s="164">
        <f>IF(J33&gt;C33,'TABLE DES TAUX 2026 '!E72,'TABLE DES TAUX 2026 '!C72)</f>
        <v>6.0100000000000001E-2</v>
      </c>
      <c r="F51" s="40">
        <f t="shared" si="0"/>
        <v>108.06</v>
      </c>
      <c r="G51" s="13">
        <f>ROUND(C51*E51,2)</f>
        <v>161.96</v>
      </c>
      <c r="H51" s="479"/>
      <c r="I51" s="479"/>
      <c r="J51" s="476"/>
      <c r="K51" s="6"/>
      <c r="M51" s="838"/>
      <c r="N51" s="838"/>
      <c r="O51" s="838"/>
    </row>
    <row r="52" spans="1:17" ht="15.75" hidden="1" customHeight="1" x14ac:dyDescent="0.25">
      <c r="A52" s="835" t="s">
        <v>43</v>
      </c>
      <c r="B52" s="835"/>
      <c r="C52" s="13">
        <f>IF(J33&gt;8*C33,7*C33,IF(J33&gt;C33,J33-C33,0))</f>
        <v>0</v>
      </c>
      <c r="D52" s="163">
        <f>IF(J33&gt;C33,'TABLE DES TAUX 2026 '!D78,0)</f>
        <v>0</v>
      </c>
      <c r="E52" s="164">
        <f>IF(J33&gt;C33,'TABLE DES TAUX 2026 '!E78,0)</f>
        <v>0</v>
      </c>
      <c r="F52" s="40">
        <f t="shared" si="0"/>
        <v>0</v>
      </c>
      <c r="G52" s="13">
        <f>ROUND(C52*E52,2)</f>
        <v>0</v>
      </c>
      <c r="H52" s="479"/>
      <c r="I52" s="479"/>
      <c r="J52" s="476"/>
      <c r="K52" s="6"/>
      <c r="M52" s="839"/>
      <c r="N52" s="839"/>
      <c r="O52" s="9"/>
      <c r="P52" s="11"/>
      <c r="Q52" s="9"/>
    </row>
    <row r="53" spans="1:17" ht="15.75" hidden="1" customHeight="1" x14ac:dyDescent="0.25">
      <c r="A53" s="834"/>
      <c r="B53" s="834"/>
      <c r="C53" s="13"/>
      <c r="D53" s="163"/>
      <c r="E53" s="164"/>
      <c r="F53" s="40"/>
      <c r="G53" s="13"/>
      <c r="H53" s="479"/>
      <c r="I53" s="479"/>
      <c r="J53" s="476"/>
      <c r="K53" s="6"/>
      <c r="M53" s="53"/>
      <c r="N53" s="53"/>
      <c r="O53" s="9"/>
      <c r="P53" s="11"/>
      <c r="Q53" s="9"/>
    </row>
    <row r="54" spans="1:17" ht="15.75" hidden="1" customHeight="1" x14ac:dyDescent="0.25">
      <c r="A54" s="834"/>
      <c r="B54" s="834"/>
      <c r="C54" s="13"/>
      <c r="D54" s="163"/>
      <c r="E54" s="164"/>
      <c r="F54" s="40"/>
      <c r="G54" s="13"/>
      <c r="H54" s="479"/>
      <c r="I54" s="479"/>
      <c r="J54" s="476"/>
      <c r="K54" s="6"/>
      <c r="M54" s="53"/>
      <c r="N54" s="53"/>
      <c r="O54" s="9"/>
      <c r="P54" s="11"/>
      <c r="Q54" s="9"/>
    </row>
    <row r="55" spans="1:17" ht="15.75" hidden="1" customHeight="1" x14ac:dyDescent="0.25">
      <c r="A55" s="834"/>
      <c r="B55" s="834"/>
      <c r="C55" s="167"/>
      <c r="D55" s="163"/>
      <c r="E55" s="164"/>
      <c r="F55" s="40"/>
      <c r="G55" s="13"/>
      <c r="H55" s="479"/>
      <c r="I55" s="479"/>
      <c r="J55" s="476"/>
      <c r="K55" s="6"/>
      <c r="M55" s="53"/>
      <c r="N55" s="53"/>
      <c r="O55" s="9"/>
      <c r="P55" s="11"/>
      <c r="Q55" s="9"/>
    </row>
    <row r="56" spans="1:17" ht="15.75" hidden="1" customHeight="1" x14ac:dyDescent="0.25">
      <c r="A56" s="834"/>
      <c r="B56" s="834"/>
      <c r="C56" s="13"/>
      <c r="D56" s="163"/>
      <c r="E56" s="164"/>
      <c r="F56" s="40"/>
      <c r="G56" s="13"/>
      <c r="H56" s="479"/>
      <c r="I56" s="479"/>
      <c r="J56" s="476"/>
      <c r="K56" s="6"/>
      <c r="M56" s="53"/>
      <c r="N56" s="53"/>
      <c r="O56" s="9"/>
      <c r="P56" s="11"/>
      <c r="Q56" s="9"/>
    </row>
    <row r="57" spans="1:17" ht="15.75" customHeight="1" x14ac:dyDescent="0.25">
      <c r="A57" s="844" t="s">
        <v>44</v>
      </c>
      <c r="B57" s="844"/>
      <c r="D57" s="33"/>
      <c r="E57" s="34"/>
      <c r="F57" s="40"/>
      <c r="G57" s="13"/>
      <c r="H57" s="479"/>
      <c r="I57" s="479"/>
      <c r="J57" s="476"/>
      <c r="M57" s="842"/>
      <c r="N57" s="842"/>
      <c r="P57" s="12"/>
      <c r="Q57" s="2"/>
    </row>
    <row r="58" spans="1:17" ht="18" customHeight="1" x14ac:dyDescent="0.25">
      <c r="A58" s="835" t="s">
        <v>70</v>
      </c>
      <c r="B58" s="835"/>
      <c r="C58" s="13">
        <f>J33</f>
        <v>2694.8318181818181</v>
      </c>
      <c r="D58" s="163"/>
      <c r="E58" s="164">
        <f xml:space="preserve"> VLOOKUP(A58,TAUX2023,4,FALSE)</f>
        <v>5.2499999999999998E-2</v>
      </c>
      <c r="F58" s="40">
        <f t="shared" si="0"/>
        <v>0</v>
      </c>
      <c r="G58" s="13">
        <f>ROUND(C58*E58,2)</f>
        <v>141.47999999999999</v>
      </c>
      <c r="H58" s="479"/>
      <c r="I58" s="479"/>
      <c r="J58" s="476"/>
      <c r="M58" s="47"/>
      <c r="N58" s="47"/>
      <c r="P58" s="12"/>
      <c r="Q58" s="2"/>
    </row>
    <row r="59" spans="1:17" ht="14.25" hidden="1" customHeight="1" x14ac:dyDescent="0.25">
      <c r="A59" s="835"/>
      <c r="B59" s="835"/>
      <c r="C59" s="40"/>
      <c r="D59" s="163"/>
      <c r="E59" s="164"/>
      <c r="F59" s="40"/>
      <c r="G59" s="13"/>
      <c r="H59" s="479"/>
      <c r="I59" s="479"/>
      <c r="J59" s="476"/>
      <c r="M59" s="47"/>
      <c r="N59" s="47"/>
      <c r="P59" s="12"/>
      <c r="Q59" s="2"/>
    </row>
    <row r="60" spans="1:17" ht="24.6" customHeight="1" x14ac:dyDescent="0.25">
      <c r="A60" s="840" t="s">
        <v>45</v>
      </c>
      <c r="B60" s="840"/>
      <c r="C60" s="18"/>
      <c r="D60" s="163"/>
      <c r="E60" s="164"/>
      <c r="F60" s="40">
        <f t="shared" si="0"/>
        <v>0</v>
      </c>
      <c r="G60" s="13"/>
      <c r="H60" s="479"/>
      <c r="I60" s="479"/>
      <c r="J60" s="476"/>
      <c r="M60" s="842"/>
      <c r="N60" s="842"/>
      <c r="O60" s="10"/>
    </row>
    <row r="61" spans="1:17" ht="18.600000000000001" customHeight="1" x14ac:dyDescent="0.25">
      <c r="A61" s="843" t="s">
        <v>200</v>
      </c>
      <c r="B61" s="843"/>
      <c r="C61" s="39">
        <f>IF(J33&gt;4*C33,4*C33,J33)</f>
        <v>2694.8318181818181</v>
      </c>
      <c r="D61" s="163"/>
      <c r="E61" s="164">
        <f>IF(H10&gt;=45778,4%,4.05%)+'TABLE DES TAUX 2026 '!D14</f>
        <v>4.2500000000000003E-2</v>
      </c>
      <c r="F61" s="40">
        <f t="shared" si="0"/>
        <v>0</v>
      </c>
      <c r="G61" s="13">
        <f>ROUND(C61*E61,2)</f>
        <v>114.53</v>
      </c>
      <c r="H61" s="479"/>
      <c r="I61" s="479"/>
      <c r="J61" s="476"/>
      <c r="M61" s="47"/>
      <c r="N61" s="47"/>
      <c r="O61" s="10"/>
    </row>
    <row r="62" spans="1:17" ht="18.600000000000001" hidden="1" customHeight="1" x14ac:dyDescent="0.25">
      <c r="A62" s="759"/>
      <c r="B62" s="739"/>
      <c r="C62" s="39"/>
      <c r="D62" s="163"/>
      <c r="E62" s="164"/>
      <c r="F62" s="40"/>
      <c r="G62" s="13"/>
      <c r="H62" s="479"/>
      <c r="I62" s="479"/>
      <c r="M62" s="47"/>
      <c r="N62" s="47"/>
      <c r="O62" s="10"/>
    </row>
    <row r="63" spans="1:17" ht="18.600000000000001" customHeight="1" x14ac:dyDescent="0.25">
      <c r="A63" s="740" t="s">
        <v>267</v>
      </c>
      <c r="B63" s="741"/>
      <c r="C63" s="39">
        <f>IF(I9=2,C61,0)</f>
        <v>2694.8318181818181</v>
      </c>
      <c r="D63" s="165">
        <f>VLOOKUP(A63,TAUX2023,3,FALSE)</f>
        <v>2.4000000000000001E-4</v>
      </c>
      <c r="E63" s="166">
        <f xml:space="preserve"> VLOOKUP(A63,TAUX2023,4,FALSE)</f>
        <v>3.6000000000000002E-4</v>
      </c>
      <c r="F63" s="40">
        <f t="shared" si="0"/>
        <v>0.65</v>
      </c>
      <c r="G63" s="13">
        <f>ROUND(C63*E63,2)</f>
        <v>0.97</v>
      </c>
      <c r="H63" s="479"/>
      <c r="I63" s="479"/>
      <c r="M63" s="47"/>
      <c r="N63" s="47"/>
      <c r="O63" s="10"/>
    </row>
    <row r="64" spans="1:17" ht="18.600000000000001" customHeight="1" x14ac:dyDescent="0.25">
      <c r="A64" s="844" t="s">
        <v>644</v>
      </c>
      <c r="B64" s="844"/>
      <c r="C64" s="13"/>
      <c r="D64" s="165"/>
      <c r="E64" s="166"/>
      <c r="F64" s="40">
        <f t="shared" si="0"/>
        <v>0</v>
      </c>
      <c r="G64" s="13">
        <f>E118</f>
        <v>174.23000000000002</v>
      </c>
      <c r="H64" s="479"/>
      <c r="I64" s="479"/>
      <c r="M64" s="842"/>
      <c r="N64" s="842"/>
      <c r="O64" s="5"/>
    </row>
    <row r="65" spans="1:12" ht="33.75" hidden="1" customHeight="1" x14ac:dyDescent="0.25">
      <c r="A65" s="845" t="s">
        <v>47</v>
      </c>
      <c r="B65" s="845"/>
      <c r="C65" s="18"/>
      <c r="D65" s="33"/>
      <c r="E65" s="14"/>
      <c r="F65" s="40"/>
      <c r="G65" s="13"/>
      <c r="H65" s="479"/>
      <c r="I65" s="479"/>
    </row>
    <row r="66" spans="1:12" ht="21.75" customHeight="1" x14ac:dyDescent="0.25">
      <c r="A66" s="824" t="s">
        <v>48</v>
      </c>
      <c r="B66" s="824"/>
      <c r="C66" s="40">
        <f>'HEURES SUPPLEMENTAIRES '!F136</f>
        <v>2502.8715113636367</v>
      </c>
      <c r="D66" s="163">
        <f>VLOOKUP(A66,TAUX2023,3,FALSE)</f>
        <v>6.8000000000000005E-2</v>
      </c>
      <c r="E66" s="176"/>
      <c r="F66" s="40">
        <f t="shared" si="0"/>
        <v>170.2</v>
      </c>
      <c r="G66" s="13"/>
      <c r="H66" s="479"/>
      <c r="I66" s="479"/>
      <c r="J66" s="2"/>
    </row>
    <row r="67" spans="1:12" ht="18.600000000000001" customHeight="1" x14ac:dyDescent="0.25">
      <c r="A67" s="824" t="s">
        <v>49</v>
      </c>
      <c r="B67" s="824"/>
      <c r="C67" s="13">
        <f>C66</f>
        <v>2502.8715113636367</v>
      </c>
      <c r="D67" s="163">
        <f>VLOOKUP(A67,TAUX2023,3,FALSE)</f>
        <v>2.9000000000000001E-2</v>
      </c>
      <c r="E67" s="176"/>
      <c r="F67" s="40">
        <f t="shared" si="0"/>
        <v>72.58</v>
      </c>
      <c r="G67" s="13"/>
      <c r="H67" s="479"/>
      <c r="I67" s="479"/>
      <c r="J67" s="2"/>
      <c r="K67" s="2"/>
    </row>
    <row r="68" spans="1:12" ht="18.600000000000001" customHeight="1" x14ac:dyDescent="0.25">
      <c r="A68" s="824" t="s">
        <v>50</v>
      </c>
      <c r="B68" s="824"/>
      <c r="C68" s="13">
        <f>'BP FORMAT JUILLET 2023'!C67</f>
        <v>252.60075000000003</v>
      </c>
      <c r="D68" s="163">
        <f>+D66</f>
        <v>6.8000000000000005E-2</v>
      </c>
      <c r="E68" s="176"/>
      <c r="F68" s="40">
        <f>ROUND(C68*D68,2)</f>
        <v>17.18</v>
      </c>
      <c r="G68" s="13">
        <f>ROUND(C68*E68,2)</f>
        <v>0</v>
      </c>
      <c r="H68" s="475"/>
      <c r="J68" s="2"/>
      <c r="K68" s="2"/>
    </row>
    <row r="69" spans="1:12" ht="18.600000000000001" hidden="1" customHeight="1" x14ac:dyDescent="0.25">
      <c r="A69" s="824" t="s">
        <v>51</v>
      </c>
      <c r="B69" s="824"/>
      <c r="C69" s="13">
        <f>'BP FORMAT JUILLET 2023'!C68</f>
        <v>0</v>
      </c>
      <c r="D69" s="163">
        <f>+D68</f>
        <v>6.8000000000000005E-2</v>
      </c>
      <c r="E69" s="176"/>
      <c r="F69" s="40">
        <f>ROUND(C69*D69,2)</f>
        <v>0</v>
      </c>
      <c r="G69" s="13">
        <f>ROUND(C69*E69,2)</f>
        <v>0</v>
      </c>
      <c r="H69" s="475"/>
      <c r="J69" s="2"/>
      <c r="K69" s="2"/>
    </row>
    <row r="70" spans="1:12" ht="23.45" customHeight="1" x14ac:dyDescent="0.25">
      <c r="A70" s="824" t="s">
        <v>52</v>
      </c>
      <c r="B70" s="824"/>
      <c r="C70" s="13">
        <f>C68+C69</f>
        <v>252.60075000000003</v>
      </c>
      <c r="D70" s="163">
        <f>+D67</f>
        <v>2.9000000000000001E-2</v>
      </c>
      <c r="E70" s="176"/>
      <c r="F70" s="40">
        <f>ROUND(C70*D70,2)</f>
        <v>7.33</v>
      </c>
      <c r="G70" s="13">
        <f>ROUND(C70*E70,2)</f>
        <v>0</v>
      </c>
      <c r="H70" s="475"/>
      <c r="J70" s="2"/>
      <c r="K70" s="2"/>
    </row>
    <row r="71" spans="1:12" ht="20.25" customHeight="1" x14ac:dyDescent="0.25">
      <c r="A71" s="845" t="s">
        <v>220</v>
      </c>
      <c r="B71" s="845"/>
      <c r="C71" s="13"/>
      <c r="D71" s="33"/>
      <c r="E71" s="14"/>
      <c r="F71" s="13"/>
      <c r="G71" s="40">
        <f>-'RGDU '!C45-'HEURES SUPPLEMENTAIRES '!A145</f>
        <v>-214.93</v>
      </c>
      <c r="H71" s="475"/>
      <c r="J71" s="2"/>
      <c r="K71" s="2"/>
    </row>
    <row r="72" spans="1:12" ht="20.25" customHeight="1" x14ac:dyDescent="0.25">
      <c r="A72" s="834" t="s">
        <v>53</v>
      </c>
      <c r="B72" s="834"/>
      <c r="C72" s="49">
        <f>'HEURES SUPPLEMENTAIRES '!F141</f>
        <v>257.10000000000002</v>
      </c>
      <c r="D72" s="33"/>
      <c r="E72" s="162">
        <f>'HEURES SUPPLEMENTAIRES '!D57</f>
        <v>0.11310000000000001</v>
      </c>
      <c r="F72" s="19">
        <f>-ROUND(C72*E72,2)</f>
        <v>-29.08</v>
      </c>
      <c r="G72" s="17"/>
      <c r="H72" s="475"/>
      <c r="I72" s="2"/>
      <c r="J72" s="2"/>
      <c r="K72" s="2"/>
    </row>
    <row r="73" spans="1:12" ht="19.149999999999999" customHeight="1" x14ac:dyDescent="0.25">
      <c r="A73" s="834" t="s">
        <v>54</v>
      </c>
      <c r="B73" s="834"/>
      <c r="C73" s="13"/>
      <c r="D73" s="13"/>
      <c r="E73" s="13"/>
      <c r="F73" s="13">
        <f>SUM(F36:F72)</f>
        <v>597.54</v>
      </c>
      <c r="G73" s="13">
        <f>SUM(G36:G72)</f>
        <v>1164.06</v>
      </c>
      <c r="H73" s="477"/>
      <c r="I73" s="2"/>
    </row>
    <row r="74" spans="1:12" ht="15.6" customHeight="1" x14ac:dyDescent="0.25">
      <c r="A74" s="834" t="s">
        <v>364</v>
      </c>
      <c r="B74" s="834"/>
      <c r="C74" s="13"/>
      <c r="D74" s="13"/>
      <c r="E74" s="18"/>
      <c r="F74" s="13">
        <f>'MASQUE DE SAISIE '!E47*'MASQUE DE SAISIE '!E48</f>
        <v>132</v>
      </c>
      <c r="G74" s="212">
        <f>'MASQUE DE SAISIE '!E47*'MASQUE DE SAISIE '!E49</f>
        <v>132</v>
      </c>
      <c r="H74" s="475"/>
    </row>
    <row r="75" spans="1:12" ht="18.75" customHeight="1" x14ac:dyDescent="0.25">
      <c r="A75" s="846" t="s">
        <v>55</v>
      </c>
      <c r="B75" s="846"/>
      <c r="C75" s="41"/>
      <c r="D75" s="41"/>
      <c r="E75" s="26"/>
      <c r="F75" s="41">
        <f>'MASQUE DE SAISIE '!E50</f>
        <v>45.8</v>
      </c>
      <c r="G75" s="26"/>
      <c r="H75" s="478"/>
    </row>
    <row r="76" spans="1:12" ht="18.75" customHeight="1" x14ac:dyDescent="0.25">
      <c r="A76" s="846" t="s">
        <v>825</v>
      </c>
      <c r="B76" s="846"/>
      <c r="C76" s="41"/>
      <c r="D76" s="41"/>
      <c r="E76" s="26"/>
      <c r="F76" s="41">
        <f>-J17</f>
        <v>-119.55000000000001</v>
      </c>
      <c r="G76" s="26"/>
      <c r="I76" s="7"/>
      <c r="J76" s="8"/>
      <c r="K76" s="7"/>
    </row>
    <row r="77" spans="1:12" ht="18.75" customHeight="1" x14ac:dyDescent="0.25">
      <c r="A77" s="788"/>
      <c r="B77" s="789"/>
      <c r="C77" s="41"/>
      <c r="D77" s="41"/>
      <c r="E77" s="26"/>
      <c r="F77" s="41"/>
      <c r="G77" s="26"/>
      <c r="I77" s="7"/>
      <c r="J77" s="8"/>
      <c r="K77" s="7"/>
    </row>
    <row r="78" spans="1:12" ht="18.75" customHeight="1" x14ac:dyDescent="0.25">
      <c r="A78" s="847" t="s">
        <v>64</v>
      </c>
      <c r="B78" s="847"/>
      <c r="C78" s="847"/>
      <c r="D78" s="847"/>
      <c r="E78" s="847"/>
      <c r="F78" s="847"/>
      <c r="G78" s="847"/>
      <c r="H78" s="847"/>
      <c r="I78" s="847"/>
      <c r="J78" s="848">
        <f>J33-F73+F75+F76-F74+F77</f>
        <v>1891.5418181818184</v>
      </c>
      <c r="K78" s="849"/>
      <c r="L78" s="849"/>
    </row>
    <row r="79" spans="1:12" ht="5.25" hidden="1" customHeight="1" x14ac:dyDescent="0.25">
      <c r="A79" s="850" t="s">
        <v>56</v>
      </c>
      <c r="B79" s="850"/>
      <c r="C79" s="850"/>
      <c r="D79" s="850"/>
      <c r="E79" s="850"/>
      <c r="F79" s="850"/>
      <c r="G79" s="850"/>
      <c r="H79" s="850"/>
      <c r="I79" s="850"/>
      <c r="J79" s="851">
        <f>F125</f>
        <v>38.044173829545436</v>
      </c>
      <c r="K79" s="852"/>
      <c r="L79" s="852"/>
    </row>
    <row r="80" spans="1:12" ht="0.75" customHeight="1" x14ac:dyDescent="0.25">
      <c r="A80" s="850"/>
      <c r="B80" s="850"/>
      <c r="C80" s="850"/>
      <c r="D80" s="850"/>
      <c r="E80" s="850"/>
      <c r="F80" s="850"/>
      <c r="G80" s="850"/>
      <c r="H80" s="850"/>
      <c r="I80" s="850"/>
      <c r="J80" s="852"/>
      <c r="K80" s="852"/>
      <c r="L80" s="852"/>
    </row>
    <row r="81" spans="1:14" ht="5.25" hidden="1" customHeight="1" x14ac:dyDescent="0.25">
      <c r="A81" s="850"/>
      <c r="B81" s="850"/>
      <c r="C81" s="850"/>
      <c r="D81" s="850"/>
      <c r="E81" s="850"/>
      <c r="F81" s="850"/>
      <c r="G81" s="850"/>
      <c r="H81" s="850"/>
      <c r="I81" s="850"/>
      <c r="J81" s="852"/>
      <c r="K81" s="852"/>
      <c r="L81" s="852"/>
    </row>
    <row r="82" spans="1:14" ht="20.25" customHeight="1" x14ac:dyDescent="0.25">
      <c r="A82" s="853" t="s">
        <v>65</v>
      </c>
      <c r="B82" s="854"/>
      <c r="C82" s="855"/>
      <c r="D82" s="859" t="s">
        <v>59</v>
      </c>
      <c r="E82" s="859"/>
      <c r="F82" s="859" t="s">
        <v>66</v>
      </c>
      <c r="G82" s="859"/>
      <c r="H82" s="51" t="s">
        <v>60</v>
      </c>
      <c r="I82" s="23"/>
      <c r="J82" s="23"/>
      <c r="K82" s="23"/>
      <c r="L82" s="23"/>
    </row>
    <row r="83" spans="1:14" x14ac:dyDescent="0.25">
      <c r="A83" s="856"/>
      <c r="B83" s="857"/>
      <c r="C83" s="858"/>
      <c r="D83" s="860">
        <f>J86</f>
        <v>1991.181818181818</v>
      </c>
      <c r="E83" s="861"/>
      <c r="F83" s="862">
        <f>'TAUX NEUTRE '!H12</f>
        <v>2.9000000000000001E-2</v>
      </c>
      <c r="G83" s="852"/>
      <c r="H83" s="52">
        <f>ROUND(D83*F83,2)</f>
        <v>57.74</v>
      </c>
      <c r="I83" s="23"/>
      <c r="J83" s="23"/>
      <c r="K83" s="23"/>
      <c r="L83" s="23"/>
    </row>
    <row r="84" spans="1:14" x14ac:dyDescent="0.25">
      <c r="A84" s="866" t="s">
        <v>57</v>
      </c>
      <c r="B84" s="866"/>
      <c r="C84" s="866"/>
      <c r="D84" s="866"/>
      <c r="E84" s="866"/>
      <c r="F84" s="866"/>
      <c r="G84" s="866"/>
      <c r="H84" s="866"/>
      <c r="I84" s="866"/>
      <c r="J84" s="869">
        <f>G73+J33</f>
        <v>3858.8918181818181</v>
      </c>
      <c r="K84" s="870"/>
      <c r="L84" s="870"/>
    </row>
    <row r="85" spans="1:14" x14ac:dyDescent="0.25">
      <c r="A85" s="866" t="s">
        <v>221</v>
      </c>
      <c r="B85" s="866"/>
      <c r="C85" s="866"/>
      <c r="D85" s="866"/>
      <c r="E85" s="866"/>
      <c r="F85" s="866"/>
      <c r="G85" s="866"/>
      <c r="H85" s="866"/>
      <c r="I85" s="866"/>
      <c r="J85" s="869">
        <f>J78-H83</f>
        <v>1833.8018181818184</v>
      </c>
      <c r="K85" s="870"/>
      <c r="L85" s="870"/>
    </row>
    <row r="86" spans="1:14" x14ac:dyDescent="0.25">
      <c r="A86" s="866" t="s">
        <v>61</v>
      </c>
      <c r="B86" s="866"/>
      <c r="C86" s="866"/>
      <c r="D86" s="866"/>
      <c r="E86" s="866"/>
      <c r="F86" s="866"/>
      <c r="G86" s="866"/>
      <c r="H86" s="866"/>
      <c r="I86" s="866"/>
      <c r="J86" s="867">
        <f>'HEURES SUPPLEMENTAIRES '!E100</f>
        <v>1991.181818181818</v>
      </c>
      <c r="K86" s="868"/>
      <c r="L86" s="868"/>
      <c r="N86" s="2"/>
    </row>
    <row r="87" spans="1:14" x14ac:dyDescent="0.25">
      <c r="A87" s="59"/>
      <c r="B87" s="345" t="s">
        <v>63</v>
      </c>
      <c r="C87" s="345" t="s">
        <v>272</v>
      </c>
      <c r="D87" s="871" t="s">
        <v>274</v>
      </c>
      <c r="E87" s="872"/>
      <c r="F87" s="873" t="s">
        <v>275</v>
      </c>
      <c r="G87" s="873"/>
      <c r="H87" s="361"/>
      <c r="I87" s="361"/>
      <c r="J87" s="173"/>
      <c r="K87" s="348"/>
      <c r="L87" s="348"/>
    </row>
    <row r="88" spans="1:14" ht="21" customHeight="1" x14ac:dyDescent="0.25">
      <c r="A88" s="362" t="s">
        <v>273</v>
      </c>
      <c r="B88" s="63">
        <f>H83</f>
        <v>57.74</v>
      </c>
      <c r="C88" s="63"/>
      <c r="D88" s="351" t="s">
        <v>99</v>
      </c>
      <c r="E88" s="63"/>
      <c r="F88" s="351" t="s">
        <v>285</v>
      </c>
      <c r="G88" s="63"/>
      <c r="H88" s="360"/>
      <c r="I88" s="361"/>
      <c r="J88" s="173"/>
      <c r="K88" s="348"/>
      <c r="L88" s="348"/>
    </row>
    <row r="89" spans="1:14" ht="21" customHeight="1" x14ac:dyDescent="0.25">
      <c r="A89" s="363" t="s">
        <v>277</v>
      </c>
      <c r="B89" s="352">
        <f>C72</f>
        <v>257.10000000000002</v>
      </c>
      <c r="C89" s="63"/>
      <c r="D89" s="351" t="s">
        <v>92</v>
      </c>
      <c r="E89" s="63"/>
      <c r="F89" s="351" t="s">
        <v>231</v>
      </c>
      <c r="G89" s="63"/>
      <c r="H89" s="361"/>
      <c r="I89" s="361"/>
      <c r="J89" s="173"/>
      <c r="K89" s="348"/>
      <c r="L89" s="348"/>
    </row>
    <row r="90" spans="1:14" ht="17.25" customHeight="1" x14ac:dyDescent="0.25">
      <c r="A90" s="364" t="s">
        <v>177</v>
      </c>
      <c r="B90" s="352">
        <f>J33</f>
        <v>2694.8318181818181</v>
      </c>
      <c r="C90" s="63"/>
      <c r="D90" s="351" t="s">
        <v>230</v>
      </c>
      <c r="E90" s="63"/>
      <c r="F90" s="351" t="s">
        <v>230</v>
      </c>
      <c r="G90" s="63"/>
      <c r="H90" s="361"/>
      <c r="I90" s="361"/>
      <c r="J90" s="173"/>
      <c r="K90" s="348"/>
      <c r="L90" s="348"/>
    </row>
    <row r="91" spans="1:14" ht="17.25" customHeight="1" x14ac:dyDescent="0.25">
      <c r="A91" s="364" t="s">
        <v>61</v>
      </c>
      <c r="B91" s="352">
        <f>J86</f>
        <v>1991.181818181818</v>
      </c>
      <c r="C91" s="63"/>
      <c r="D91" s="347"/>
      <c r="E91" s="347"/>
      <c r="F91" s="347"/>
      <c r="G91" s="347"/>
      <c r="H91" s="361"/>
      <c r="I91" s="361"/>
      <c r="J91" s="173"/>
      <c r="K91" s="348"/>
      <c r="L91" s="348"/>
    </row>
    <row r="92" spans="1:14" ht="15" customHeight="1" x14ac:dyDescent="0.25">
      <c r="A92" s="865" t="s">
        <v>58</v>
      </c>
      <c r="B92" s="865"/>
      <c r="C92" s="865"/>
      <c r="D92" s="865"/>
      <c r="E92" s="865"/>
      <c r="F92" s="23"/>
      <c r="G92" s="23"/>
      <c r="H92" s="23"/>
      <c r="I92" s="23"/>
      <c r="J92" s="23"/>
      <c r="K92" s="23"/>
      <c r="L92" s="23"/>
    </row>
    <row r="93" spans="1:14" s="23" customFormat="1" ht="12" customHeight="1" x14ac:dyDescent="0.25">
      <c r="A93" s="43" t="s">
        <v>62</v>
      </c>
    </row>
    <row r="94" spans="1:14" x14ac:dyDescent="0.25">
      <c r="A94" s="23"/>
      <c r="B94" s="23"/>
      <c r="C94" s="23"/>
      <c r="D94" s="23"/>
      <c r="E94" s="23"/>
      <c r="F94" s="23"/>
      <c r="G94" s="23"/>
      <c r="H94" s="23"/>
      <c r="I94" s="23"/>
      <c r="J94" s="23"/>
      <c r="K94" s="23"/>
      <c r="L94" s="23"/>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ht="15.75" x14ac:dyDescent="0.25">
      <c r="A105" s="25"/>
      <c r="B105" s="25"/>
      <c r="C105" s="25"/>
      <c r="D105" s="25"/>
      <c r="E105" s="25"/>
      <c r="F105" s="25"/>
      <c r="G105" s="25"/>
      <c r="H105" s="25"/>
      <c r="I105" s="25"/>
      <c r="J105" s="25"/>
      <c r="K105" s="25"/>
      <c r="L105" s="25"/>
      <c r="M105" s="27"/>
      <c r="N105" s="27"/>
      <c r="O105" s="27"/>
      <c r="P105" s="27"/>
      <c r="Q105" s="27"/>
      <c r="R105" s="27"/>
    </row>
    <row r="106" spans="1:18" ht="33.6" customHeight="1" x14ac:dyDescent="0.25">
      <c r="A106" s="874" t="s">
        <v>82</v>
      </c>
      <c r="B106" s="874"/>
      <c r="C106" s="874"/>
      <c r="D106" s="874"/>
      <c r="E106" s="874"/>
      <c r="F106" s="25"/>
      <c r="G106" s="25"/>
      <c r="H106" s="25"/>
      <c r="I106" s="25"/>
      <c r="J106" s="25"/>
      <c r="K106" s="25"/>
      <c r="L106" s="25"/>
      <c r="M106" s="27"/>
      <c r="N106" s="27"/>
      <c r="O106" s="27"/>
      <c r="P106" s="27"/>
      <c r="Q106" s="27"/>
      <c r="R106" s="27"/>
    </row>
    <row r="107" spans="1:18" ht="33.6" customHeight="1" x14ac:dyDescent="0.25">
      <c r="A107" s="399"/>
      <c r="B107" s="104"/>
      <c r="C107" s="378" t="s">
        <v>32</v>
      </c>
      <c r="D107" s="378" t="s">
        <v>84</v>
      </c>
      <c r="E107" s="378" t="s">
        <v>93</v>
      </c>
      <c r="H107" s="25"/>
      <c r="I107" s="25"/>
      <c r="J107" s="25"/>
      <c r="K107" s="25"/>
      <c r="L107" s="25"/>
      <c r="M107" s="27"/>
      <c r="N107" s="27"/>
      <c r="O107" s="27"/>
      <c r="P107" s="27"/>
      <c r="Q107" s="27"/>
      <c r="R107" s="27"/>
    </row>
    <row r="108" spans="1:18" ht="33.6" customHeight="1" x14ac:dyDescent="0.25">
      <c r="A108" s="863" t="s">
        <v>85</v>
      </c>
      <c r="B108" s="864"/>
      <c r="C108" s="565">
        <f>IF(B9&lt;50,IF(J33&gt;C33,C33,J33),0)</f>
        <v>0</v>
      </c>
      <c r="D108" s="566">
        <f>'TABLE DES TAUX 2026 '!D26</f>
        <v>1E-3</v>
      </c>
      <c r="E108" s="565">
        <f>ROUND(C108*D108,2)</f>
        <v>0</v>
      </c>
      <c r="H108" s="25"/>
      <c r="I108" s="25"/>
      <c r="J108" s="25"/>
      <c r="K108" s="25"/>
      <c r="L108" s="25"/>
      <c r="M108" s="27"/>
      <c r="N108" s="27"/>
      <c r="O108" s="27"/>
      <c r="P108" s="27"/>
      <c r="Q108" s="27"/>
      <c r="R108" s="27"/>
    </row>
    <row r="109" spans="1:18" ht="33.6" customHeight="1" x14ac:dyDescent="0.25">
      <c r="A109" s="863" t="s">
        <v>86</v>
      </c>
      <c r="B109" s="864"/>
      <c r="C109" s="565">
        <f>IF(B9&gt;=50,J33,0)</f>
        <v>2694.8318181818181</v>
      </c>
      <c r="D109" s="566">
        <f>'TABLE DES TAUX 2026 '!D27</f>
        <v>5.0000000000000001E-3</v>
      </c>
      <c r="E109" s="565">
        <f>ROUND(C109*D109,2)</f>
        <v>13.47</v>
      </c>
      <c r="H109" s="25"/>
      <c r="I109" s="25"/>
      <c r="J109" s="25"/>
      <c r="K109" s="25"/>
      <c r="L109" s="25"/>
      <c r="M109" s="27"/>
      <c r="N109" s="27"/>
      <c r="O109" s="27"/>
      <c r="P109" s="27"/>
      <c r="Q109" s="27"/>
      <c r="R109" s="27"/>
    </row>
    <row r="110" spans="1:18" ht="33.6" customHeight="1" x14ac:dyDescent="0.25">
      <c r="A110" s="863" t="s">
        <v>266</v>
      </c>
      <c r="B110" s="864"/>
      <c r="C110" s="565">
        <f>IF(B9&gt;=11,J33,0)</f>
        <v>2694.8318181818181</v>
      </c>
      <c r="D110" s="566">
        <f>+'MASQUE DE SAISIE '!H22</f>
        <v>3.2000000000000001E-2</v>
      </c>
      <c r="E110" s="565">
        <f t="shared" ref="E110:E117" si="2">ROUND(C110*D110,2)</f>
        <v>86.23</v>
      </c>
      <c r="H110" s="25"/>
      <c r="I110" s="25"/>
      <c r="J110" s="25"/>
      <c r="K110" s="25"/>
      <c r="L110" s="25"/>
      <c r="M110" s="27"/>
      <c r="N110" s="27"/>
      <c r="O110" s="27"/>
      <c r="P110" s="27"/>
      <c r="Q110" s="27"/>
      <c r="R110" s="27"/>
    </row>
    <row r="111" spans="1:18" ht="33.6" customHeight="1" x14ac:dyDescent="0.25">
      <c r="A111" s="882" t="s">
        <v>71</v>
      </c>
      <c r="B111" s="883"/>
      <c r="C111" s="565">
        <f>J33</f>
        <v>2694.8318181818181</v>
      </c>
      <c r="D111" s="566">
        <f>'TABLE DES TAUX 2026 '!D29</f>
        <v>3.0000000000000001E-3</v>
      </c>
      <c r="E111" s="565">
        <f t="shared" si="2"/>
        <v>8.08</v>
      </c>
      <c r="H111" s="25"/>
      <c r="I111" s="25"/>
      <c r="J111" s="25"/>
      <c r="K111" s="25"/>
      <c r="L111" s="25"/>
      <c r="M111" s="27"/>
      <c r="N111" s="27"/>
      <c r="O111" s="27"/>
      <c r="P111" s="27"/>
      <c r="Q111" s="27"/>
      <c r="R111" s="27"/>
    </row>
    <row r="112" spans="1:18" ht="33.6" customHeight="1" x14ac:dyDescent="0.25">
      <c r="A112" s="863" t="s">
        <v>83</v>
      </c>
      <c r="B112" s="864"/>
      <c r="C112" s="565">
        <f>IF(B9&gt;=11, IF(I9=2,G38+G41+G42,G39+G40),0)</f>
        <v>107.8</v>
      </c>
      <c r="D112" s="566">
        <f>'TABLE DES TAUX 2026 '!D30</f>
        <v>0.08</v>
      </c>
      <c r="E112" s="565">
        <f t="shared" si="2"/>
        <v>8.6199999999999992</v>
      </c>
      <c r="H112" s="27"/>
      <c r="I112" s="27"/>
      <c r="J112" s="27"/>
      <c r="K112" s="27"/>
      <c r="L112" s="27"/>
      <c r="M112" s="27"/>
      <c r="N112" s="27"/>
      <c r="O112" s="27"/>
      <c r="P112" s="27"/>
      <c r="Q112" s="27"/>
      <c r="R112" s="27"/>
    </row>
    <row r="113" spans="1:18" ht="33.6" customHeight="1" x14ac:dyDescent="0.25">
      <c r="A113" s="883" t="s">
        <v>213</v>
      </c>
      <c r="B113" s="765"/>
      <c r="C113" s="565">
        <f>G43</f>
        <v>0</v>
      </c>
      <c r="D113" s="566">
        <f>'TABLE DES TAUX 2026 '!D31</f>
        <v>0.2</v>
      </c>
      <c r="E113" s="565">
        <f t="shared" si="2"/>
        <v>0</v>
      </c>
      <c r="H113" s="27"/>
      <c r="I113" s="27"/>
      <c r="J113" s="27"/>
      <c r="K113" s="27"/>
      <c r="L113" s="27"/>
      <c r="M113" s="27"/>
      <c r="N113" s="27"/>
      <c r="O113" s="27"/>
      <c r="P113" s="27"/>
      <c r="Q113" s="27"/>
      <c r="R113" s="27"/>
    </row>
    <row r="114" spans="1:18" ht="33.6" customHeight="1" x14ac:dyDescent="0.25">
      <c r="A114" s="882" t="s">
        <v>72</v>
      </c>
      <c r="B114" s="883"/>
      <c r="C114" s="565">
        <f>+J33</f>
        <v>2694.8318181818181</v>
      </c>
      <c r="D114" s="566">
        <f>'TABLE DES TAUX 2026 '!D32</f>
        <v>1.6000000000000001E-4</v>
      </c>
      <c r="E114" s="565">
        <f t="shared" si="2"/>
        <v>0.43</v>
      </c>
      <c r="H114" s="27"/>
      <c r="I114" s="27"/>
      <c r="J114" s="27"/>
      <c r="K114" s="27"/>
      <c r="L114" s="27"/>
      <c r="M114" s="27"/>
      <c r="N114" s="27"/>
      <c r="O114" s="27"/>
      <c r="P114" s="27"/>
      <c r="Q114" s="27"/>
      <c r="R114" s="27"/>
    </row>
    <row r="115" spans="1:18" ht="33.6" customHeight="1" x14ac:dyDescent="0.25">
      <c r="A115" s="863" t="s">
        <v>652</v>
      </c>
      <c r="B115" s="864"/>
      <c r="C115" s="565">
        <f>IF(B9&gt;=11,J33,0)</f>
        <v>2694.8318181818181</v>
      </c>
      <c r="D115" s="566">
        <f>'TABLE DES TAUX 2026 '!D33</f>
        <v>1.6800000000000002E-2</v>
      </c>
      <c r="E115" s="565">
        <f t="shared" si="2"/>
        <v>45.27</v>
      </c>
      <c r="H115" s="27"/>
      <c r="I115" s="27"/>
      <c r="J115" s="27"/>
      <c r="K115" s="27"/>
      <c r="L115" s="27"/>
      <c r="M115" s="27"/>
      <c r="N115" s="27"/>
      <c r="O115" s="27"/>
      <c r="P115" s="27"/>
      <c r="Q115" s="27"/>
      <c r="R115" s="27"/>
    </row>
    <row r="116" spans="1:18" ht="33.6" customHeight="1" x14ac:dyDescent="0.25">
      <c r="A116" s="863" t="s">
        <v>653</v>
      </c>
      <c r="B116" s="864"/>
      <c r="C116" s="565">
        <f>IF(B9&lt;11,J33,0)</f>
        <v>0</v>
      </c>
      <c r="D116" s="566">
        <f>'TABLE DES TAUX 2026 '!D34</f>
        <v>1.2300000000000002E-2</v>
      </c>
      <c r="E116" s="565">
        <f t="shared" si="2"/>
        <v>0</v>
      </c>
      <c r="H116" s="27"/>
      <c r="I116" s="27"/>
      <c r="J116" s="27"/>
      <c r="K116" s="27"/>
      <c r="L116" s="27"/>
      <c r="M116" s="27"/>
      <c r="N116" s="27"/>
      <c r="O116" s="27"/>
      <c r="P116" s="27"/>
      <c r="Q116" s="27"/>
      <c r="R116" s="27"/>
    </row>
    <row r="117" spans="1:18" ht="33.6" customHeight="1" x14ac:dyDescent="0.25">
      <c r="A117" s="877" t="s">
        <v>77</v>
      </c>
      <c r="B117" s="878"/>
      <c r="C117" s="567">
        <f>IF(B9&lt;50,0,J33)</f>
        <v>2694.8318181818181</v>
      </c>
      <c r="D117" s="568">
        <f>'TABLE DES TAUX 2026 '!D35</f>
        <v>4.4999999999999997E-3</v>
      </c>
      <c r="E117" s="567">
        <f t="shared" si="2"/>
        <v>12.13</v>
      </c>
      <c r="H117" s="27"/>
      <c r="I117" s="27"/>
      <c r="J117" s="27"/>
      <c r="K117" s="27"/>
      <c r="L117" s="27"/>
      <c r="M117" s="27"/>
      <c r="N117" s="27"/>
      <c r="O117" s="27"/>
      <c r="P117" s="27"/>
      <c r="Q117" s="27"/>
      <c r="R117" s="27"/>
    </row>
    <row r="118" spans="1:18" ht="33.6" customHeight="1" x14ac:dyDescent="0.25">
      <c r="A118" s="27"/>
      <c r="B118" s="27"/>
      <c r="D118" s="27"/>
      <c r="E118" s="64">
        <f>SUM(E108:E117)</f>
        <v>174.23000000000002</v>
      </c>
      <c r="F118" s="27"/>
      <c r="G118" s="27"/>
      <c r="H118" s="27"/>
      <c r="I118" s="27"/>
      <c r="J118" s="27"/>
      <c r="K118" s="27"/>
      <c r="L118" s="27"/>
      <c r="M118" s="27"/>
      <c r="N118" s="27"/>
      <c r="O118" s="27"/>
      <c r="P118" s="27"/>
      <c r="Q118" s="27"/>
      <c r="R118" s="27"/>
    </row>
    <row r="119" spans="1:18" ht="15.75" x14ac:dyDescent="0.25">
      <c r="A119" s="27"/>
      <c r="B119" s="27"/>
      <c r="C119" s="27"/>
      <c r="D119" s="27"/>
      <c r="E119" s="27"/>
      <c r="F119" s="27"/>
      <c r="G119" s="27"/>
      <c r="H119" s="27"/>
      <c r="I119" s="27"/>
      <c r="J119" s="27"/>
      <c r="K119" s="27"/>
      <c r="L119" s="27"/>
      <c r="M119" s="27"/>
      <c r="N119" s="27"/>
      <c r="O119" s="27"/>
      <c r="P119" s="27"/>
      <c r="Q119" s="27"/>
      <c r="R119" s="27"/>
    </row>
    <row r="120" spans="1:18" ht="16.5" x14ac:dyDescent="0.3">
      <c r="A120" s="24"/>
      <c r="B120" s="24"/>
      <c r="C120" s="24"/>
      <c r="D120" s="24"/>
      <c r="E120" s="24"/>
      <c r="F120" s="24"/>
      <c r="G120" s="24"/>
      <c r="H120" s="27"/>
      <c r="I120" s="27"/>
      <c r="J120" s="27"/>
      <c r="K120" s="27"/>
      <c r="L120" s="27"/>
      <c r="M120" s="27"/>
      <c r="N120" s="27"/>
      <c r="O120" s="27"/>
      <c r="P120" s="27"/>
      <c r="Q120" s="27"/>
      <c r="R120" s="27"/>
    </row>
    <row r="121" spans="1:18" ht="24.75" customHeight="1" x14ac:dyDescent="0.3">
      <c r="A121" s="24"/>
      <c r="B121" s="24"/>
      <c r="C121" s="24"/>
      <c r="D121" s="24"/>
      <c r="E121" s="24"/>
      <c r="F121" s="24"/>
      <c r="G121" s="24"/>
      <c r="H121" s="27"/>
      <c r="I121" s="27"/>
      <c r="J121" s="27"/>
      <c r="K121" s="27"/>
      <c r="L121" s="27"/>
      <c r="M121" s="27"/>
      <c r="N121" s="27"/>
      <c r="O121" s="27"/>
      <c r="P121" s="27"/>
      <c r="Q121" s="27"/>
      <c r="R121" s="27"/>
    </row>
    <row r="122" spans="1:18" ht="36" customHeight="1" x14ac:dyDescent="0.3">
      <c r="A122" s="879" t="s">
        <v>88</v>
      </c>
      <c r="B122" s="879"/>
      <c r="C122" s="45">
        <v>7.4999999999999997E-3</v>
      </c>
      <c r="D122" s="46">
        <f>C36*C122</f>
        <v>20.211238636363635</v>
      </c>
      <c r="E122" s="24"/>
      <c r="F122" s="24"/>
      <c r="G122" s="24"/>
      <c r="H122" s="27"/>
      <c r="I122" s="27"/>
      <c r="J122" s="27"/>
      <c r="K122" s="27"/>
      <c r="L122" s="27"/>
      <c r="M122" s="27"/>
      <c r="N122" s="27"/>
      <c r="O122" s="27"/>
      <c r="P122" s="27"/>
      <c r="Q122" s="27"/>
      <c r="R122" s="27"/>
    </row>
    <row r="123" spans="1:18" ht="35.25" customHeight="1" x14ac:dyDescent="0.3">
      <c r="A123" s="875" t="s">
        <v>89</v>
      </c>
      <c r="B123" s="875"/>
      <c r="C123" s="45">
        <v>2.4E-2</v>
      </c>
      <c r="D123" s="46">
        <f>C61*C123</f>
        <v>64.675963636363633</v>
      </c>
      <c r="E123" s="24"/>
      <c r="F123" s="24"/>
      <c r="G123" s="24"/>
      <c r="H123" s="27"/>
      <c r="I123" s="27"/>
      <c r="J123" s="27"/>
      <c r="K123" s="27"/>
      <c r="L123" s="27"/>
      <c r="M123" s="27"/>
      <c r="N123" s="27"/>
      <c r="O123" s="27"/>
      <c r="P123" s="27"/>
      <c r="Q123" s="27"/>
      <c r="R123" s="27"/>
    </row>
    <row r="124" spans="1:18" ht="22.5" hidden="1" customHeight="1" x14ac:dyDescent="0.3">
      <c r="A124" s="24"/>
      <c r="B124" s="24"/>
      <c r="C124" s="24"/>
      <c r="D124" s="24"/>
      <c r="E124" s="24"/>
      <c r="F124" s="24"/>
      <c r="G124" s="24"/>
      <c r="H124" s="27"/>
      <c r="I124" s="27"/>
      <c r="J124" s="27"/>
      <c r="K124" s="27"/>
      <c r="L124" s="27"/>
      <c r="M124" s="27"/>
      <c r="N124" s="27"/>
      <c r="O124" s="27"/>
      <c r="P124" s="27"/>
      <c r="Q124" s="27"/>
      <c r="R124" s="27"/>
    </row>
    <row r="125" spans="1:18" ht="22.5" customHeight="1" x14ac:dyDescent="0.3">
      <c r="A125" s="880" t="s">
        <v>110</v>
      </c>
      <c r="B125" s="880"/>
      <c r="C125" s="880"/>
      <c r="D125" s="881"/>
      <c r="E125" s="65" t="s">
        <v>91</v>
      </c>
      <c r="F125" s="66">
        <f>D122+D123-D127</f>
        <v>38.044173829545436</v>
      </c>
      <c r="G125" s="24"/>
      <c r="H125" s="27"/>
      <c r="I125" s="27"/>
      <c r="J125" s="27"/>
      <c r="K125" s="27"/>
      <c r="L125" s="27"/>
      <c r="M125" s="27"/>
      <c r="N125" s="27"/>
      <c r="O125" s="27"/>
      <c r="P125" s="27"/>
      <c r="Q125" s="27"/>
      <c r="R125" s="27"/>
    </row>
    <row r="126" spans="1:18" ht="0.75" customHeight="1" x14ac:dyDescent="0.3">
      <c r="A126" s="24"/>
      <c r="B126" s="24"/>
      <c r="C126" s="24"/>
      <c r="D126" s="24"/>
      <c r="E126" s="24"/>
      <c r="F126" s="24"/>
      <c r="G126" s="24"/>
      <c r="H126" s="27"/>
      <c r="I126" s="27"/>
      <c r="J126" s="27"/>
      <c r="K126" s="27"/>
      <c r="L126" s="27"/>
      <c r="M126" s="27"/>
      <c r="N126" s="27"/>
      <c r="O126" s="27"/>
      <c r="P126" s="27"/>
      <c r="Q126" s="27"/>
      <c r="R126" s="27"/>
    </row>
    <row r="127" spans="1:18" ht="36" customHeight="1" x14ac:dyDescent="0.3">
      <c r="A127" s="875" t="s">
        <v>90</v>
      </c>
      <c r="B127" s="875"/>
      <c r="C127" s="45">
        <v>1.7000000000000001E-2</v>
      </c>
      <c r="D127" s="46">
        <f>(C66+C70)*C127</f>
        <v>46.843028443181829</v>
      </c>
      <c r="E127" s="24"/>
      <c r="F127" s="24"/>
      <c r="G127" s="24"/>
      <c r="H127" s="27"/>
      <c r="I127" s="27"/>
      <c r="J127" s="27"/>
      <c r="K127" s="27"/>
      <c r="L127" s="27"/>
      <c r="M127" s="27"/>
      <c r="N127" s="27"/>
      <c r="O127" s="27"/>
      <c r="P127" s="27"/>
      <c r="Q127" s="27"/>
      <c r="R127" s="27"/>
    </row>
    <row r="128" spans="1:18" ht="16.5" x14ac:dyDescent="0.3">
      <c r="A128" s="24"/>
      <c r="B128" s="24"/>
      <c r="C128" s="24"/>
      <c r="D128" s="24"/>
      <c r="E128" s="24"/>
      <c r="F128" s="24"/>
      <c r="G128" s="24"/>
      <c r="H128" s="27"/>
      <c r="I128" s="27"/>
      <c r="J128" s="27"/>
      <c r="K128" s="27"/>
      <c r="L128" s="27"/>
      <c r="M128" s="27"/>
      <c r="N128" s="27"/>
      <c r="O128" s="27"/>
      <c r="P128" s="27"/>
      <c r="Q128" s="27"/>
      <c r="R128" s="27"/>
    </row>
    <row r="129" spans="1:18" ht="15.75" x14ac:dyDescent="0.25">
      <c r="A129" s="27"/>
      <c r="B129" s="27"/>
      <c r="C129" s="27"/>
      <c r="D129" s="27"/>
      <c r="E129" s="27"/>
      <c r="F129" s="27"/>
      <c r="G129" s="27"/>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2" spans="1:18" ht="28.5" customHeight="1" x14ac:dyDescent="0.25">
      <c r="A142" s="876"/>
      <c r="B142" s="876"/>
      <c r="C142" s="876"/>
      <c r="D142" s="876"/>
      <c r="E142" s="876"/>
      <c r="F142" s="876"/>
      <c r="G142" s="876"/>
      <c r="H142" s="876"/>
      <c r="I142" s="876"/>
      <c r="J142" s="876"/>
    </row>
    <row r="199" ht="1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sheetData>
  <mergeCells count="135">
    <mergeCell ref="A127:B127"/>
    <mergeCell ref="A142:J142"/>
    <mergeCell ref="A115:B115"/>
    <mergeCell ref="A116:B116"/>
    <mergeCell ref="A117:B117"/>
    <mergeCell ref="A122:B122"/>
    <mergeCell ref="A123:B123"/>
    <mergeCell ref="A125:D125"/>
    <mergeCell ref="A110:B110"/>
    <mergeCell ref="A111:B111"/>
    <mergeCell ref="A112:B112"/>
    <mergeCell ref="A113:B113"/>
    <mergeCell ref="A114:B114"/>
    <mergeCell ref="A108:B108"/>
    <mergeCell ref="A109:B109"/>
    <mergeCell ref="A92:E92"/>
    <mergeCell ref="A86:I86"/>
    <mergeCell ref="J86:L86"/>
    <mergeCell ref="A84:I84"/>
    <mergeCell ref="J84:L84"/>
    <mergeCell ref="A85:I85"/>
    <mergeCell ref="J85:L85"/>
    <mergeCell ref="D87:E87"/>
    <mergeCell ref="F87:G87"/>
    <mergeCell ref="A106:E106"/>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Plages nommées</vt:lpstr>
      </vt:variant>
      <vt:variant>
        <vt:i4>1</vt:i4>
      </vt:variant>
    </vt:vector>
  </HeadingPairs>
  <TitlesOfParts>
    <vt:vector size="21" baseType="lpstr">
      <vt:lpstr>PRESENTATION </vt:lpstr>
      <vt:lpstr>INTRODUCTION </vt:lpstr>
      <vt:lpstr>PRECISION </vt:lpstr>
      <vt:lpstr>EXPLICATIONS FEUILLE HEURES SUP</vt:lpstr>
      <vt:lpstr>ENONCE 2026</vt:lpstr>
      <vt:lpstr>CORRECTION 2026</vt:lpstr>
      <vt:lpstr>TABLE DES TAUX 2026 </vt:lpstr>
      <vt:lpstr>MASQUE DE SAISIE </vt:lpstr>
      <vt:lpstr>BP VERSION JANVIER 2023</vt:lpstr>
      <vt:lpstr>BP FORMAT JUILLET 2023</vt:lpstr>
      <vt:lpstr>RGDU </vt:lpstr>
      <vt:lpstr>FEUILLE DE CONTROLE </vt:lpstr>
      <vt:lpstr>BP 2026</vt:lpstr>
      <vt:lpstr>HEURES SUPPLEMENTAIRES </vt:lpstr>
      <vt:lpstr>TR Matrice Net Imposable </vt:lpstr>
      <vt:lpstr>TR Matrice Cotisations </vt:lpstr>
      <vt:lpstr>TRAME DE BP AMELIOREE  </vt:lpstr>
      <vt:lpstr>TAUX NEUTRE </vt:lpstr>
      <vt:lpstr>TAUX NEUTRE JANVIER  </vt:lpstr>
      <vt:lpstr>TAUX NEUTRE MAI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2026-02-02T10:03:47Z</cp:lastPrinted>
  <dcterms:created xsi:type="dcterms:W3CDTF">2019-09-02T13:46:41Z</dcterms:created>
  <dcterms:modified xsi:type="dcterms:W3CDTF">2026-02-02T11:42:54Z</dcterms:modified>
</cp:coreProperties>
</file>